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21720" windowHeight="17880" tabRatio="557" activeTab="0"/>
  </bookViews>
  <sheets>
    <sheet name="2Resnichki.ru" sheetId="1" r:id="rId1"/>
    <sheet name="Btfly.ru" sheetId="2" r:id="rId2"/>
    <sheet name="Terochki.ru" sheetId="3" r:id="rId3"/>
    <sheet name="Warbrushes.ru" sheetId="4" r:id="rId4"/>
    <sheet name="Сarapky.ru" sheetId="5" r:id="rId5"/>
    <sheet name="Massagerell.ru" sheetId="6" r:id="rId6"/>
  </sheets>
  <definedNames/>
  <calcPr fullCalcOnLoad="1"/>
</workbook>
</file>

<file path=xl/sharedStrings.xml><?xml version="1.0" encoding="utf-8"?>
<sst xmlns="http://schemas.openxmlformats.org/spreadsheetml/2006/main" count="417" uniqueCount="343">
  <si>
    <t>Артикул</t>
  </si>
  <si>
    <t>Сумма</t>
  </si>
  <si>
    <t>Тёрка ZigZag</t>
  </si>
  <si>
    <t>Пилка 3084N</t>
  </si>
  <si>
    <t>Полировка 3083S</t>
  </si>
  <si>
    <t>Ell-113</t>
  </si>
  <si>
    <t>Ell-193</t>
  </si>
  <si>
    <t>Ell-116</t>
  </si>
  <si>
    <t>Ell-110</t>
  </si>
  <si>
    <t>Ell-143  round</t>
  </si>
  <si>
    <t>Ell-131  round</t>
  </si>
  <si>
    <t>Ell-212</t>
  </si>
  <si>
    <t>Ell-215  salon</t>
  </si>
  <si>
    <t>Ell-216  salon</t>
  </si>
  <si>
    <t>Ell-245</t>
  </si>
  <si>
    <t>Ell-252</t>
  </si>
  <si>
    <t>Ell-237</t>
  </si>
  <si>
    <t>Ell-233</t>
  </si>
  <si>
    <t>Ell-250</t>
  </si>
  <si>
    <t>Ell-372</t>
  </si>
  <si>
    <t>Ell-408</t>
  </si>
  <si>
    <t>Ell-419</t>
  </si>
  <si>
    <t>Ell-500</t>
  </si>
  <si>
    <t>Ell-501</t>
  </si>
  <si>
    <t>Количество    с  заточкой</t>
  </si>
  <si>
    <t>Цена  без заточки</t>
  </si>
  <si>
    <t>Гоудастер</t>
  </si>
  <si>
    <t>Стеклянная пилка 12 см</t>
  </si>
  <si>
    <t>Стеклянная пилка 9 см</t>
  </si>
  <si>
    <t>Лазерная тёрка 1030</t>
  </si>
  <si>
    <t>Лазерная тёрка 1023 белая</t>
  </si>
  <si>
    <t>Лазерная тёрка 1024 Mini</t>
  </si>
  <si>
    <t>Карандаш для кутикулы</t>
  </si>
  <si>
    <t>Ell-600</t>
  </si>
  <si>
    <t>Набор чёрный 3FB (3 пилки)</t>
  </si>
  <si>
    <t>Набор чёрный 2SB (2 тёрки)</t>
  </si>
  <si>
    <t>Набор белый 3FW (3 пилки)</t>
  </si>
  <si>
    <t>Набор белый 2SW (2тёрки)</t>
  </si>
  <si>
    <t>Набор белый  3H (1 тёр+2 пил)</t>
  </si>
  <si>
    <t>Лазерная тёрка 1023 Nickel</t>
  </si>
  <si>
    <t>Цена  за шт.</t>
  </si>
  <si>
    <t xml:space="preserve">Количество         </t>
  </si>
  <si>
    <t xml:space="preserve">Незагрязинки </t>
  </si>
  <si>
    <t xml:space="preserve">Цена  </t>
  </si>
  <si>
    <t>Итоговая сумма по массажёрам</t>
  </si>
  <si>
    <t>Итоговая сумма по теркам и инструменту</t>
  </si>
  <si>
    <t>Царапки  розовые</t>
  </si>
  <si>
    <t>Царапки  светло-розовые</t>
  </si>
  <si>
    <t>Царапки  красные</t>
  </si>
  <si>
    <t>Царапки  зелёные</t>
  </si>
  <si>
    <t>Царапки  синие</t>
  </si>
  <si>
    <t>Царапки  фиолетовые</t>
  </si>
  <si>
    <t>Царапки  чёрные</t>
  </si>
  <si>
    <t>Царапки  прозрачные</t>
  </si>
  <si>
    <t>Царапки для собак</t>
  </si>
  <si>
    <t>Царапки серые S</t>
  </si>
  <si>
    <t>Царапки серые M</t>
  </si>
  <si>
    <t>Царапки серые L</t>
  </si>
  <si>
    <t>Царапки серые XL</t>
  </si>
  <si>
    <t>Царапки серые XXL</t>
  </si>
  <si>
    <t>Царапки розовые S</t>
  </si>
  <si>
    <t>Царапки розовые M</t>
  </si>
  <si>
    <t>Царапки розовые L</t>
  </si>
  <si>
    <t>Итоговая сумма по всему заказу</t>
  </si>
  <si>
    <t>Массажер  одноволновой</t>
  </si>
  <si>
    <t>Массажер  двухволновой</t>
  </si>
  <si>
    <t>Чесалка с металическим наконечником</t>
  </si>
  <si>
    <t>Чесалка с тонкопластиковым наконечником</t>
  </si>
  <si>
    <t>Тёрки                www.btfly.ru</t>
  </si>
  <si>
    <t>Массажеры              www.massagerell.ru</t>
  </si>
  <si>
    <t>Цена за блок (10 уп.)</t>
  </si>
  <si>
    <t>Цена  за упаковку</t>
  </si>
  <si>
    <t>Количество    упаковок</t>
  </si>
  <si>
    <t>Количество    блоков</t>
  </si>
  <si>
    <t>Цельные реснички                www.2Resnichki.ru</t>
  </si>
  <si>
    <t>01 Сплошная радость</t>
  </si>
  <si>
    <t>02 Карнавальная ночь</t>
  </si>
  <si>
    <t>03 Особый взгляд</t>
  </si>
  <si>
    <t>04 Мечты Шахерезады</t>
  </si>
  <si>
    <t>05 Сияние луны</t>
  </si>
  <si>
    <t>06 Восточная сказка</t>
  </si>
  <si>
    <t>07 Чарующий взмах</t>
  </si>
  <si>
    <t>08 Естественная красота</t>
  </si>
  <si>
    <t>09 Корона Императрицы</t>
  </si>
  <si>
    <t>10 Волнующее обольщение</t>
  </si>
  <si>
    <t>11 Любовный треугольник</t>
  </si>
  <si>
    <t>12 Редкое счастье</t>
  </si>
  <si>
    <t>13 Запутанная история</t>
  </si>
  <si>
    <t>14 Незабудки</t>
  </si>
  <si>
    <t>15 Маленькая принцесса</t>
  </si>
  <si>
    <t>16 Вишнёвый сад</t>
  </si>
  <si>
    <t>17 Пылающий огонь</t>
  </si>
  <si>
    <t>18 Сплошная радость</t>
  </si>
  <si>
    <t>60 Восьмиресничные 13 мм</t>
  </si>
  <si>
    <t>Пучки (0.15 мм толщина)</t>
  </si>
  <si>
    <t>61 Восьмиресничные 11 мм</t>
  </si>
  <si>
    <t>62 Восьмиресничные 9 мм</t>
  </si>
  <si>
    <t>63 Восьмиресничные  MIX</t>
  </si>
  <si>
    <t>64 Трёхресничные  13 мм</t>
  </si>
  <si>
    <t>65 Трёхресничные 11 мм</t>
  </si>
  <si>
    <t>66 Трёхресничные 9 мм</t>
  </si>
  <si>
    <t>67 Трёхресничные  MIX</t>
  </si>
  <si>
    <t>80 Двадцатьпяточка 14 мм</t>
  </si>
  <si>
    <t>81 Двадцатьпяточка 12 мм</t>
  </si>
  <si>
    <t>82 Двадцатьпяточка 10 мм</t>
  </si>
  <si>
    <t>83 Двадцатьпяточка MIX</t>
  </si>
  <si>
    <t>84 Двадцаточка 14 мм</t>
  </si>
  <si>
    <t>85 Двадцаточка 12 мм</t>
  </si>
  <si>
    <t>86 Двадцаточка 10 мм</t>
  </si>
  <si>
    <t>87 Двадцаточка MIX</t>
  </si>
  <si>
    <t>Итоговая сумма по ресничкам</t>
  </si>
  <si>
    <t>Одиночные реснички (0.20 и 0.25 мм)</t>
  </si>
  <si>
    <t>Царапки для кошек</t>
  </si>
  <si>
    <t xml:space="preserve">Пилка для когтей </t>
  </si>
  <si>
    <t>Пилка для подпиливания когтей</t>
  </si>
  <si>
    <t>Незагрязинки серые  S (маленькие)</t>
  </si>
  <si>
    <t>Незагрязинки серые  M (средние)</t>
  </si>
  <si>
    <t>Незагрязинки серые L (большие)</t>
  </si>
  <si>
    <t>Незагрязинки розовые L (большие)</t>
  </si>
  <si>
    <t>Незагрязинки розовые M (средние)</t>
  </si>
  <si>
    <t>Незагрязинки розовые  S (маленькие)</t>
  </si>
  <si>
    <t>Итоговая сумма по царапкам и незагрязинкам:</t>
  </si>
  <si>
    <t>Заточка относится только к маникюрному инструменту</t>
  </si>
  <si>
    <t>Срезающая липсовая тёрка</t>
  </si>
  <si>
    <t xml:space="preserve">Тёрочные наборы         </t>
  </si>
  <si>
    <t>Клей для одиночных ресниц и пучков</t>
  </si>
  <si>
    <t>Клей прозрачный  1 грамм</t>
  </si>
  <si>
    <t>Клей чёрный  1 грамм</t>
  </si>
  <si>
    <t xml:space="preserve">Маникюрные ножницы  12028M       </t>
  </si>
  <si>
    <t xml:space="preserve">Ногтевые ножницы  12027М       </t>
  </si>
  <si>
    <t>Безопасные ножницы 12097M</t>
  </si>
  <si>
    <t xml:space="preserve">Ногтевые ножницы  12047M     </t>
  </si>
  <si>
    <t>Универсальные ножницы 12048М</t>
  </si>
  <si>
    <t>Маникюрные ножницы 18828МХ</t>
  </si>
  <si>
    <t xml:space="preserve">Ногтевые ножницы  18847 MX </t>
  </si>
  <si>
    <t xml:space="preserve">Количество с заточкой        </t>
  </si>
  <si>
    <t xml:space="preserve">Количество без заточки </t>
  </si>
  <si>
    <t xml:space="preserve">переключение между нашими сайтами и  товарами находится ниже, там где листы </t>
  </si>
  <si>
    <r>
      <rPr>
        <b/>
        <sz val="10"/>
        <color indexed="53"/>
        <rFont val="Calibri"/>
        <family val="2"/>
      </rPr>
      <t>переключение между нашими сайтами и  товарами находится ниже, там где листы</t>
    </r>
    <r>
      <rPr>
        <b/>
        <sz val="10"/>
        <color indexed="8"/>
        <rFont val="Calibri"/>
        <family val="2"/>
      </rPr>
      <t xml:space="preserve"> </t>
    </r>
  </si>
  <si>
    <t>Тёрки для ног                   www.terochki.ru</t>
  </si>
  <si>
    <t>Итоговая сумма по наборам и инструменту</t>
  </si>
  <si>
    <t>Рекомендуем Италию не точить, но…</t>
  </si>
  <si>
    <t>не точится</t>
  </si>
  <si>
    <t>http://www.carapky.ru/content/tseny-na-tsarapki-i-nezagryazinki</t>
  </si>
  <si>
    <t>Царапки  белые</t>
  </si>
  <si>
    <t>Царапки  жёлтые</t>
  </si>
  <si>
    <t>Царапки  оранжевые</t>
  </si>
  <si>
    <t>Царапки голубые</t>
  </si>
  <si>
    <t>Наборы Butterfly PU</t>
  </si>
  <si>
    <t xml:space="preserve">Ножницы (Италия)  </t>
  </si>
  <si>
    <t>Наборы Butterfly DPR</t>
  </si>
  <si>
    <t>Ell-221  salon</t>
  </si>
  <si>
    <t>текущий курс у.е.</t>
  </si>
  <si>
    <r>
      <t>Цены действительны до конца месяца</t>
    </r>
    <r>
      <rPr>
        <b/>
        <sz val="9"/>
        <rFont val="Calibri"/>
        <family val="2"/>
      </rPr>
      <t>. Минимальный заказ от 15 000 рублей. Доставка до вашего города за наш счёт.  Заказ присылать на: terochki@gmail.com Наличие по факту инструмента на складе смотреть тут:     http://btfly.ru/content/zeny</t>
    </r>
  </si>
  <si>
    <t>в нашей компании</t>
  </si>
  <si>
    <t xml:space="preserve">Лазерная тёрка 1037 Hibrid </t>
  </si>
  <si>
    <t xml:space="preserve">Волновая пилка </t>
  </si>
  <si>
    <t xml:space="preserve">Пилка 3082 Portable </t>
  </si>
  <si>
    <t xml:space="preserve">Пилка 3085 Sun  </t>
  </si>
  <si>
    <t xml:space="preserve">Пилка 3086 Submarine  </t>
  </si>
  <si>
    <t xml:space="preserve">Пилка 3087 Supernova </t>
  </si>
  <si>
    <t xml:space="preserve">Marshal 45 mk  </t>
  </si>
  <si>
    <t xml:space="preserve">Cassius 45 pk </t>
  </si>
  <si>
    <t xml:space="preserve">Emerald 57 </t>
  </si>
  <si>
    <t>Brentis 56</t>
  </si>
  <si>
    <t xml:space="preserve">Evdocia 48 mn </t>
  </si>
  <si>
    <t xml:space="preserve">Colias 48 pn  </t>
  </si>
  <si>
    <t xml:space="preserve">Jack 710 mk  </t>
  </si>
  <si>
    <t xml:space="preserve">Menandr 710 pk </t>
  </si>
  <si>
    <t xml:space="preserve">Diana 712  </t>
  </si>
  <si>
    <t xml:space="preserve">PalmFly 810  </t>
  </si>
  <si>
    <t xml:space="preserve">Deitheria 812  </t>
  </si>
  <si>
    <t xml:space="preserve">Coronata 914 </t>
  </si>
  <si>
    <t xml:space="preserve">Tristan 35 </t>
  </si>
  <si>
    <t xml:space="preserve">Alekto 36 </t>
  </si>
  <si>
    <t xml:space="preserve">Danis 36 </t>
  </si>
  <si>
    <t xml:space="preserve">Pandora 49 </t>
  </si>
  <si>
    <t xml:space="preserve">Avrora 45 </t>
  </si>
  <si>
    <t xml:space="preserve">Junona 512 </t>
  </si>
  <si>
    <t xml:space="preserve">Camilla 612 </t>
  </si>
  <si>
    <t xml:space="preserve">Esmeralda 712 </t>
  </si>
  <si>
    <t>Bt-118 PU</t>
  </si>
  <si>
    <t>Bt-116 PU</t>
  </si>
  <si>
    <t>Bt-193 PU</t>
  </si>
  <si>
    <r>
      <t>Цены действительны до конца месяца</t>
    </r>
    <r>
      <rPr>
        <b/>
        <sz val="9"/>
        <rFont val="Calibri"/>
        <family val="2"/>
      </rPr>
      <t>. Минимальный заказ от 15 000 рублей.     Доставка до вашего города за наш счёт.  Заказ присылать на: terochki@gmail.com Наличие по факту ресничек на складе смотреть тут:   http://2resnichki.ru/content/ceny</t>
    </r>
  </si>
  <si>
    <r>
      <t>Цены действительны до конца месяца</t>
    </r>
    <r>
      <rPr>
        <b/>
        <sz val="9"/>
        <rFont val="Calibri"/>
        <family val="2"/>
      </rPr>
      <t xml:space="preserve">.  Доставка до вашего города за наш счёт.  Заказ присылать на: terochki@gmail.com  Наличие по факту смотреть тут:  </t>
    </r>
  </si>
  <si>
    <t>Мочалки и колпачки</t>
  </si>
  <si>
    <r>
      <t xml:space="preserve">Чудо мочалка - спонжик </t>
    </r>
    <r>
      <rPr>
        <sz val="8"/>
        <color indexed="10"/>
        <rFont val="Calibri"/>
        <family val="2"/>
      </rPr>
      <t>new</t>
    </r>
  </si>
  <si>
    <r>
      <t xml:space="preserve">Колпачок для ножниц </t>
    </r>
    <r>
      <rPr>
        <sz val="8"/>
        <color indexed="10"/>
        <rFont val="Calibri"/>
        <family val="2"/>
      </rPr>
      <t>new</t>
    </r>
  </si>
  <si>
    <r>
      <t xml:space="preserve">Колпачок для кус. маникюрн. </t>
    </r>
    <r>
      <rPr>
        <sz val="8"/>
        <color indexed="10"/>
        <rFont val="Calibri"/>
        <family val="2"/>
      </rPr>
      <t>new</t>
    </r>
  </si>
  <si>
    <r>
      <t xml:space="preserve">Колпачок для кус. педикюрн. </t>
    </r>
    <r>
      <rPr>
        <sz val="8"/>
        <color indexed="10"/>
        <rFont val="Calibri"/>
        <family val="2"/>
      </rPr>
      <t>new</t>
    </r>
  </si>
  <si>
    <r>
      <t xml:space="preserve">Колпачок для пинц. и пушер. </t>
    </r>
    <r>
      <rPr>
        <sz val="8"/>
        <color indexed="10"/>
        <rFont val="Calibri"/>
        <family val="2"/>
      </rPr>
      <t>new</t>
    </r>
  </si>
  <si>
    <t>Тёрка Quadro Sun+ с вкладышем</t>
  </si>
  <si>
    <r>
      <t xml:space="preserve">Чудо мочалка - рукавичка </t>
    </r>
    <r>
      <rPr>
        <sz val="8"/>
        <color indexed="10"/>
        <rFont val="Calibri"/>
        <family val="2"/>
      </rPr>
      <t>new</t>
    </r>
  </si>
  <si>
    <r>
      <t>Цены действительны до конца месяца. Минимальный заказ от 15 000 рублей.</t>
    </r>
    <r>
      <rPr>
        <b/>
        <sz val="9"/>
        <rFont val="Calibri"/>
        <family val="2"/>
      </rPr>
      <t xml:space="preserve">   Доставка до вашего города за наш счёт.  Заказ присылать на: terochki@gmail.com  Наличие по факту товара на складе смотреть тут: http://www.massagerell.ru/content/zeni</t>
    </r>
  </si>
  <si>
    <t>Расчёски              www.warbrushes.ru</t>
  </si>
  <si>
    <t>Расчёска Salon Black MAXI 2C</t>
  </si>
  <si>
    <t>Расчёска Salon Black MIDI 2C</t>
  </si>
  <si>
    <t>Расчёска Salon Black MINI 2C</t>
  </si>
  <si>
    <t>Расчёска ECO Bamboo Wood MAXI</t>
  </si>
  <si>
    <t>Расчёска ECO Bamboo Metal MAXI</t>
  </si>
  <si>
    <t>Расчёска ECO Bamboo Metal MINI</t>
  </si>
  <si>
    <t>Расчёска Salon Color Wood MIDI</t>
  </si>
  <si>
    <t>Расчёска Salon Brown Metal MAXI</t>
  </si>
  <si>
    <t>Расчёска Salon Amber Metal MAXI</t>
  </si>
  <si>
    <t>Расчёска Salon Amber Metal MINI</t>
  </si>
  <si>
    <t>Расчёска Salon Color Wood MAXI</t>
  </si>
  <si>
    <r>
      <t xml:space="preserve">Цены действительны до конца месяца. </t>
    </r>
    <r>
      <rPr>
        <b/>
        <sz val="9"/>
        <rFont val="Calibri"/>
        <family val="2"/>
      </rPr>
      <t xml:space="preserve"> Минимальный заказ от 15 000 рублей.     Доставка до вашего города за наш счёт.  Заказ присылать на: terochki@gmail.com  Наличие по факту товара на складе смотреть тут:  http://warbrushes.ru/content/tseny</t>
    </r>
  </si>
  <si>
    <r>
      <t>Цены действительны до конца месяца</t>
    </r>
    <r>
      <rPr>
        <b/>
        <sz val="9"/>
        <rFont val="Calibri"/>
        <family val="2"/>
      </rPr>
      <t>. Минимальный заказ от 15 000 рублей.     Доставка до вашего города за наш счёт.  Заказ присылать на: terochki@gmail.com  Наличие товара по факту на складе смотреть тут: http://www.terochki.ru/content/tseny</t>
    </r>
  </si>
  <si>
    <t>Инструмент Butterfly Ergonomic</t>
  </si>
  <si>
    <t>Инструмент Butterfly Elegant</t>
  </si>
  <si>
    <r>
      <rPr>
        <b/>
        <sz val="8"/>
        <color indexed="63"/>
        <rFont val="Calibri"/>
        <family val="2"/>
      </rPr>
      <t>Ножницы Bt-113 ergonomic</t>
    </r>
    <r>
      <rPr>
        <sz val="8"/>
        <color indexed="63"/>
        <rFont val="Calibri"/>
        <family val="2"/>
      </rPr>
      <t xml:space="preserve">  </t>
    </r>
    <r>
      <rPr>
        <sz val="8"/>
        <color indexed="10"/>
        <rFont val="Calibri"/>
        <family val="2"/>
      </rPr>
      <t>new</t>
    </r>
  </si>
  <si>
    <r>
      <rPr>
        <b/>
        <sz val="8"/>
        <color indexed="63"/>
        <rFont val="Calibri"/>
        <family val="2"/>
      </rPr>
      <t>Ножницы Bt-193 ergonomic</t>
    </r>
    <r>
      <rPr>
        <sz val="8"/>
        <color indexed="63"/>
        <rFont val="Calibri"/>
        <family val="2"/>
      </rPr>
      <t xml:space="preserve"> </t>
    </r>
    <r>
      <rPr>
        <sz val="8"/>
        <color indexed="10"/>
        <rFont val="Calibri"/>
        <family val="2"/>
      </rPr>
      <t>new</t>
    </r>
  </si>
  <si>
    <r>
      <rPr>
        <b/>
        <sz val="8"/>
        <color indexed="63"/>
        <rFont val="Calibri"/>
        <family val="2"/>
      </rPr>
      <t>Кусачки Bt-207 ergonomic</t>
    </r>
    <r>
      <rPr>
        <sz val="8"/>
        <color indexed="63"/>
        <rFont val="Calibri"/>
        <family val="2"/>
      </rPr>
      <t xml:space="preserve"> </t>
    </r>
    <r>
      <rPr>
        <sz val="8"/>
        <color indexed="10"/>
        <rFont val="Calibri"/>
        <family val="2"/>
      </rPr>
      <t>new</t>
    </r>
  </si>
  <si>
    <r>
      <rPr>
        <b/>
        <sz val="8"/>
        <color indexed="63"/>
        <rFont val="Calibri"/>
        <family val="2"/>
      </rPr>
      <t>Кусачки Bt-217 ergonomic</t>
    </r>
    <r>
      <rPr>
        <sz val="8"/>
        <color indexed="63"/>
        <rFont val="Calibri"/>
        <family val="2"/>
      </rPr>
      <t xml:space="preserve"> </t>
    </r>
    <r>
      <rPr>
        <sz val="8"/>
        <color indexed="10"/>
        <rFont val="Calibri"/>
        <family val="2"/>
      </rPr>
      <t>new</t>
    </r>
  </si>
  <si>
    <r>
      <rPr>
        <b/>
        <sz val="8"/>
        <color indexed="63"/>
        <rFont val="Calibri"/>
        <family val="2"/>
      </rPr>
      <t>Пинцет Bt-375 ergonomic</t>
    </r>
    <r>
      <rPr>
        <sz val="8"/>
        <color indexed="10"/>
        <rFont val="Calibri"/>
        <family val="2"/>
      </rPr>
      <t xml:space="preserve"> new</t>
    </r>
  </si>
  <si>
    <r>
      <rPr>
        <b/>
        <sz val="8"/>
        <color indexed="63"/>
        <rFont val="Calibri"/>
        <family val="2"/>
      </rPr>
      <t>Кусачки Bt -204 elegant</t>
    </r>
    <r>
      <rPr>
        <sz val="8"/>
        <color indexed="63"/>
        <rFont val="Calibri"/>
        <family val="2"/>
      </rPr>
      <t xml:space="preserve"> </t>
    </r>
    <r>
      <rPr>
        <sz val="8"/>
        <color indexed="10"/>
        <rFont val="Calibri"/>
        <family val="2"/>
      </rPr>
      <t>new</t>
    </r>
  </si>
  <si>
    <r>
      <rPr>
        <b/>
        <sz val="8"/>
        <color indexed="63"/>
        <rFont val="Calibri"/>
        <family val="2"/>
      </rPr>
      <t>Кусачки Bt -211 elegant</t>
    </r>
    <r>
      <rPr>
        <sz val="8"/>
        <color indexed="63"/>
        <rFont val="Calibri"/>
        <family val="2"/>
      </rPr>
      <t xml:space="preserve"> </t>
    </r>
    <r>
      <rPr>
        <sz val="8"/>
        <color indexed="10"/>
        <rFont val="Calibri"/>
        <family val="2"/>
      </rPr>
      <t>new</t>
    </r>
  </si>
  <si>
    <t>Пилинг для ног        FineFoot.ru</t>
  </si>
  <si>
    <r>
      <rPr>
        <b/>
        <sz val="8"/>
        <color indexed="63"/>
        <rFont val="Calibri"/>
        <family val="2"/>
      </rPr>
      <t>Лазерная тёрка 1031 Sun белая</t>
    </r>
    <r>
      <rPr>
        <sz val="8"/>
        <color indexed="63"/>
        <rFont val="Calibri"/>
        <family val="2"/>
      </rPr>
      <t xml:space="preserve"> </t>
    </r>
    <r>
      <rPr>
        <sz val="8"/>
        <color indexed="10"/>
        <rFont val="Calibri"/>
        <family val="2"/>
      </rPr>
      <t>new</t>
    </r>
  </si>
  <si>
    <r>
      <rPr>
        <b/>
        <sz val="8"/>
        <color indexed="63"/>
        <rFont val="Calibri"/>
        <family val="2"/>
      </rPr>
      <t>Мультитриммер для кутикулы</t>
    </r>
    <r>
      <rPr>
        <sz val="8"/>
        <color indexed="63"/>
        <rFont val="Calibri"/>
        <family val="2"/>
      </rPr>
      <t xml:space="preserve"> </t>
    </r>
    <r>
      <rPr>
        <sz val="8"/>
        <color indexed="10"/>
        <rFont val="Calibri"/>
        <family val="2"/>
      </rPr>
      <t>new</t>
    </r>
  </si>
  <si>
    <t>Маникюрные ножницы 12028 со стразой</t>
  </si>
  <si>
    <t>Ногтевые ножницы  женские 12027 со стразой</t>
  </si>
  <si>
    <t>Ногтевые ножницы  мужские 12047 со стразой</t>
  </si>
  <si>
    <t>0</t>
  </si>
  <si>
    <r>
      <rPr>
        <b/>
        <sz val="8"/>
        <color indexed="63"/>
        <rFont val="Calibri"/>
        <family val="2"/>
      </rPr>
      <t>Лазерная тёрка 1023 чёрная</t>
    </r>
    <r>
      <rPr>
        <sz val="8"/>
        <color indexed="63"/>
        <rFont val="Calibri"/>
        <family val="2"/>
      </rPr>
      <t xml:space="preserve"> </t>
    </r>
    <r>
      <rPr>
        <b/>
        <sz val="8"/>
        <color indexed="10"/>
        <rFont val="Calibri"/>
        <family val="2"/>
      </rPr>
      <t>lowcost</t>
    </r>
  </si>
  <si>
    <t>Пинцет 321</t>
  </si>
  <si>
    <t>Пилка для ногтей 701</t>
  </si>
  <si>
    <t>Пилка длдя ногтей 703</t>
  </si>
  <si>
    <t>Пилка для ногтей 704</t>
  </si>
  <si>
    <t>Пилка для ногтей 705</t>
  </si>
  <si>
    <t>Ножницы 105 (для шитья и рукоделия, прямые)</t>
  </si>
  <si>
    <t>Ножницы 106 (для шитья и рукоделия, загнутые)</t>
  </si>
  <si>
    <t>Ножницы 110 (безопачсные)</t>
  </si>
  <si>
    <t>Ножницы 113 (для тонких ногтей)</t>
  </si>
  <si>
    <t>Ножницы 113 R (для тонких ногтей, скруглённые)</t>
  </si>
  <si>
    <t>Ножницы 118 LB (для кутикулы, длинное лезвие)</t>
  </si>
  <si>
    <t>Ножницы 131 (для кутикулы)</t>
  </si>
  <si>
    <t>Ножницы 131 W (для кутикулы, широкие ручки)</t>
  </si>
  <si>
    <t>Ножницы 150 (бытовые)</t>
  </si>
  <si>
    <t>Ножницы 151 (бытовые, облегчённые)</t>
  </si>
  <si>
    <t>Ножницы 152 (для усов и бороды)</t>
  </si>
  <si>
    <t>Ножницы 160 (ногтевые, для толстых ногтей)</t>
  </si>
  <si>
    <t>Ножницы 113 B ( для тонких ногтей, чёрные)</t>
  </si>
  <si>
    <t>Ножницы 118 B (для кутикулы, чёрные)</t>
  </si>
  <si>
    <t>Ножницы 131 B (для кутикулы, чёрные)</t>
  </si>
  <si>
    <t>Кусачки 260 (спиральная  пружина. Длина 6/105мм)</t>
  </si>
  <si>
    <t>Кусачки 261 (спиральная  пружина. Длина 9/103 мм)</t>
  </si>
  <si>
    <t>Кусачки 262 ( двойная пружина. Длина 6/118 мм)</t>
  </si>
  <si>
    <t>Кусачки 263 (двойная пружина. Длина 12/112 мм)</t>
  </si>
  <si>
    <t>Кусачки 264 (двойная пружина. Длина 14/115 мм)</t>
  </si>
  <si>
    <t>Кусачки 265 (спиральная пружина. Длина 11/125 мм)</t>
  </si>
  <si>
    <t>Кусачки 271 (мини, одн. пруж., Длина 8/103 мм)</t>
  </si>
  <si>
    <t>Кусачки 272 (двойная пружина. Длина 6/100 мм)</t>
  </si>
  <si>
    <t>Кусачки 273 (спиральная пружина. Длина 6/105 мм)</t>
  </si>
  <si>
    <t>Кусачки 276 (спиральная пружина. Длина 12/125 мм)</t>
  </si>
  <si>
    <t>Кусачки 277 (дв. пруж. Cobalt  Длина 6/125 мм)</t>
  </si>
  <si>
    <t>Кусачки 281 ( одн. пруж, чёрные, Длина 6/104 мм)</t>
  </si>
  <si>
    <t>Кусачки 282 ( одн. пруж, чёрные, Длина 6/103 мм)</t>
  </si>
  <si>
    <t>Кусачки 280 ( спир. пруж, чёрные, Длина 6/105 мм)</t>
  </si>
  <si>
    <t>Кусачки 283 ( дв. пруж, чёрные, Длина 6/100 мм)</t>
  </si>
  <si>
    <t>Кусачки 284 ( дв. пруж, чёрные, Длина 6/100 мм)</t>
  </si>
  <si>
    <t>Кусачки 285 ( спир. пруж, чёрные, Длина 12/115 мм)</t>
  </si>
  <si>
    <r>
      <t xml:space="preserve">Ножницы Mowe Solingen, серия LC </t>
    </r>
    <r>
      <rPr>
        <b/>
        <sz val="9"/>
        <color indexed="10"/>
        <rFont val="Calibri"/>
        <family val="2"/>
      </rPr>
      <t>new</t>
    </r>
  </si>
  <si>
    <r>
      <t xml:space="preserve">Маникюрные кусачки Mowe Solingen, cерия LC </t>
    </r>
    <r>
      <rPr>
        <b/>
        <sz val="9"/>
        <color indexed="10"/>
        <rFont val="Calibri"/>
        <family val="2"/>
      </rPr>
      <t>new</t>
    </r>
  </si>
  <si>
    <r>
      <t xml:space="preserve">Педикюрные кусачки Mowe Solingen, серия LC </t>
    </r>
    <r>
      <rPr>
        <b/>
        <sz val="9"/>
        <color indexed="10"/>
        <rFont val="Calibri"/>
        <family val="2"/>
      </rPr>
      <t>new</t>
    </r>
  </si>
  <si>
    <t xml:space="preserve">Разное        </t>
  </si>
  <si>
    <r>
      <t xml:space="preserve">Пинцеты, пилки, тёрки. Серия LC </t>
    </r>
    <r>
      <rPr>
        <b/>
        <sz val="9"/>
        <color indexed="10"/>
        <rFont val="Calibri"/>
        <family val="2"/>
      </rPr>
      <t>new</t>
    </r>
  </si>
  <si>
    <t>Кусачки 290 ( одн. пруж., Длина 17/102 мм)</t>
  </si>
  <si>
    <t>Кусачки 291 ( двойная  пружина,  Длина 17/102 мм)</t>
  </si>
  <si>
    <t>Кусачки 293  ( двойная  пружина,  Длина 20/120 мм)</t>
  </si>
  <si>
    <t>Кусачки 294  ( двойная  пружина,  Длина 18/132 мм)</t>
  </si>
  <si>
    <t>Кусачки 270 (мини, одн. пруж, Длина 6/90 мм)</t>
  </si>
  <si>
    <t>Кусачки 297 Elka  (длина 17 мм/102 один пруж, ребрист. руч.)</t>
  </si>
  <si>
    <t>Кусачки  296 Universal  ( 12 мм дв. пруж.)</t>
  </si>
  <si>
    <t xml:space="preserve"> </t>
  </si>
  <si>
    <r>
      <t>Парафиновые носочки</t>
    </r>
    <r>
      <rPr>
        <sz val="8"/>
        <color indexed="10"/>
        <rFont val="Calibri"/>
        <family val="2"/>
      </rPr>
      <t xml:space="preserve"> </t>
    </r>
    <r>
      <rPr>
        <b/>
        <sz val="8"/>
        <color indexed="10"/>
        <rFont val="Calibri"/>
        <family val="2"/>
      </rPr>
      <t>low cost</t>
    </r>
  </si>
  <si>
    <r>
      <t xml:space="preserve">Парафиновые перчатки </t>
    </r>
    <r>
      <rPr>
        <sz val="8"/>
        <color indexed="10"/>
        <rFont val="Calibri"/>
        <family val="2"/>
      </rPr>
      <t>low cost</t>
    </r>
  </si>
  <si>
    <r>
      <t xml:space="preserve">Пилинг носочки </t>
    </r>
    <r>
      <rPr>
        <sz val="8"/>
        <color indexed="10"/>
        <rFont val="Calibri"/>
        <family val="2"/>
      </rPr>
      <t>low cost</t>
    </r>
  </si>
  <si>
    <r>
      <t xml:space="preserve">Быстроманикюр для рук </t>
    </r>
    <r>
      <rPr>
        <sz val="8"/>
        <color indexed="10"/>
        <rFont val="Calibri"/>
        <family val="2"/>
      </rPr>
      <t>low cost</t>
    </r>
  </si>
  <si>
    <r>
      <t xml:space="preserve">Быстроманикюр для ног </t>
    </r>
    <r>
      <rPr>
        <sz val="8"/>
        <color indexed="10"/>
        <rFont val="Calibri"/>
        <family val="2"/>
      </rPr>
      <t>low cost</t>
    </r>
  </si>
  <si>
    <r>
      <rPr>
        <b/>
        <sz val="8"/>
        <color indexed="63"/>
        <rFont val="Calibri"/>
        <family val="2"/>
      </rPr>
      <t>Лазерная тёрка 1032 Silicon</t>
    </r>
    <r>
      <rPr>
        <sz val="8"/>
        <color indexed="63"/>
        <rFont val="Calibri"/>
        <family val="2"/>
      </rPr>
      <t xml:space="preserve"> </t>
    </r>
    <r>
      <rPr>
        <sz val="8"/>
        <color indexed="10"/>
        <rFont val="Calibri"/>
        <family val="2"/>
      </rPr>
      <t>new</t>
    </r>
  </si>
  <si>
    <t>Дорожные наборы   YLT/GLT</t>
  </si>
  <si>
    <t>Vanessa (118 DPR) жёлтый</t>
  </si>
  <si>
    <t>Licena (193 DPR) жёлтый</t>
  </si>
  <si>
    <t>Aglais (116 DPR) жёлтый</t>
  </si>
  <si>
    <t>Filodis (119 DPR) жёлтый</t>
  </si>
  <si>
    <t>Icarica (118 Italia) зелёный</t>
  </si>
  <si>
    <t>Morfo (113 italia) зелёный</t>
  </si>
  <si>
    <t>Zalmox (116 Italia) зелёный</t>
  </si>
  <si>
    <t>Кусачки 262 (9/105 мм, тройн. сустав)</t>
  </si>
  <si>
    <t>Кусачки 260 (7/105 мм, двойн. сустав)</t>
  </si>
  <si>
    <t>Кусачки 261 (6/103 мм двойн. сустав)</t>
  </si>
  <si>
    <t>Кусачки 263 (13/118 мм двойн. сустав)</t>
  </si>
  <si>
    <t>Кусачки 264 (9/105 мм, двойн. сустав)</t>
  </si>
  <si>
    <t>Кусачки 266 (8/118 мм, двойн. сустав)</t>
  </si>
  <si>
    <t>Кусачки 267 (7/106 мм, тройн. раунд)</t>
  </si>
  <si>
    <t>Кусачки 268 (5/106 мм, тройн. раунд)</t>
  </si>
  <si>
    <t>Кусачки 265 (6/118 мм тройн. сустав)</t>
  </si>
  <si>
    <t>Кусачки 269 (9/114 мм, рифлён. ручки)</t>
  </si>
  <si>
    <t>Инструмент Butterfly Double Polish</t>
  </si>
  <si>
    <t>Ножницы 113 round (ногтевые женские)</t>
  </si>
  <si>
    <t>Ножницы 193 round (универсальные)</t>
  </si>
  <si>
    <t>Ножницы 138 round (домашние)</t>
  </si>
  <si>
    <t>Ножницы 119 round (педикюрные)</t>
  </si>
  <si>
    <t>Ножницы 120 round (безопасные)</t>
  </si>
  <si>
    <t>Ножницы Ell</t>
  </si>
  <si>
    <t>Кусачки Ell</t>
  </si>
  <si>
    <t>Пинцеты Ell</t>
  </si>
  <si>
    <t>Пушеры Ell</t>
  </si>
  <si>
    <t>Книпсера Ell</t>
  </si>
  <si>
    <t>Кусачки 203 round - 3 mm</t>
  </si>
  <si>
    <t>Кусачки Double Polish</t>
  </si>
  <si>
    <t>Кусачки 205 round - 5 mm</t>
  </si>
  <si>
    <t>Кусачки 207 round - 7 mm</t>
  </si>
  <si>
    <t>Кусачки 210 round -10 mm</t>
  </si>
  <si>
    <t>Кусачки 252 round - 16 mm</t>
  </si>
  <si>
    <t>Кусачки 264 - 10 mm (вросш. ноготь)</t>
  </si>
  <si>
    <t>Кусачки 237 - 16 mm</t>
  </si>
  <si>
    <t>Пинцеты и Пушера Double Polish</t>
  </si>
  <si>
    <t>Пинцет 304 round</t>
  </si>
  <si>
    <t>Пинцет 371 round</t>
  </si>
  <si>
    <t>Пинцет 377 round</t>
  </si>
  <si>
    <t xml:space="preserve">Пушер 405 </t>
  </si>
  <si>
    <t xml:space="preserve">Пушер 408 </t>
  </si>
  <si>
    <t>Пушер 409</t>
  </si>
  <si>
    <t>Пушер 411</t>
  </si>
  <si>
    <t>Петля 419</t>
  </si>
  <si>
    <r>
      <t xml:space="preserve">Кусачки Butterfly </t>
    </r>
    <r>
      <rPr>
        <b/>
        <sz val="9"/>
        <color indexed="10"/>
        <rFont val="Calibri"/>
        <family val="2"/>
      </rPr>
      <t>Low Cost</t>
    </r>
  </si>
  <si>
    <t>Тёрка абразивная 831 серия LC</t>
  </si>
  <si>
    <t>Тёрка абразивная 830, серия LC</t>
  </si>
  <si>
    <t>Тёрка Guliver Sun+ с вкладышем</t>
  </si>
  <si>
    <t>Тёрка Sun+ с вкладышем</t>
  </si>
  <si>
    <r>
      <t xml:space="preserve">Тёрка двухсторонняя деревянная WOODBUK     60/120     </t>
    </r>
    <r>
      <rPr>
        <b/>
        <sz val="8"/>
        <color indexed="10"/>
        <rFont val="Calibri"/>
        <family val="2"/>
      </rPr>
      <t>new</t>
    </r>
  </si>
  <si>
    <r>
      <t xml:space="preserve">Тёрка двухсторонняя деревянная WOODBUK     100/150    </t>
    </r>
    <r>
      <rPr>
        <b/>
        <sz val="8"/>
        <color indexed="10"/>
        <rFont val="Calibri"/>
        <family val="2"/>
      </rPr>
      <t>new</t>
    </r>
  </si>
  <si>
    <r>
      <t xml:space="preserve">Тёрка двухсторонняя деревянная WOODBUK     120/180    </t>
    </r>
    <r>
      <rPr>
        <b/>
        <sz val="8"/>
        <color indexed="10"/>
        <rFont val="Calibri"/>
        <family val="2"/>
      </rPr>
      <t>new</t>
    </r>
  </si>
  <si>
    <r>
      <t xml:space="preserve">Тёрка двухсторонняя лакированная WOODLACK   60/120  </t>
    </r>
    <r>
      <rPr>
        <b/>
        <sz val="8"/>
        <color indexed="10"/>
        <rFont val="Calibri"/>
        <family val="2"/>
      </rPr>
      <t>new</t>
    </r>
  </si>
  <si>
    <r>
      <t xml:space="preserve">Тёрка двухсторонняя лакированная WOODLACK   100/150  </t>
    </r>
    <r>
      <rPr>
        <b/>
        <sz val="8"/>
        <color indexed="10"/>
        <rFont val="Calibri"/>
        <family val="2"/>
      </rPr>
      <t>new</t>
    </r>
  </si>
  <si>
    <r>
      <t xml:space="preserve">Тёрка двухсторонняя лакированная WOODLACK   120/180  </t>
    </r>
    <r>
      <rPr>
        <b/>
        <sz val="8"/>
        <color indexed="10"/>
        <rFont val="Calibri"/>
        <family val="2"/>
      </rPr>
      <t>new</t>
    </r>
  </si>
  <si>
    <r>
      <t xml:space="preserve">Электротёрка для пяток Mowe  ГОЛУБАЯ  </t>
    </r>
    <r>
      <rPr>
        <b/>
        <sz val="8"/>
        <color indexed="10"/>
        <rFont val="Calibri"/>
        <family val="2"/>
      </rPr>
      <t>new</t>
    </r>
  </si>
  <si>
    <r>
      <t xml:space="preserve">Электротёрка для пяток Mowe  РОЗОВАЯ   </t>
    </r>
    <r>
      <rPr>
        <b/>
        <sz val="8"/>
        <color indexed="10"/>
        <rFont val="Calibri"/>
        <family val="2"/>
      </rPr>
      <t>new</t>
    </r>
  </si>
  <si>
    <r>
      <rPr>
        <b/>
        <sz val="8"/>
        <color indexed="63"/>
        <rFont val="Calibri"/>
        <family val="2"/>
      </rPr>
      <t>Лазерная тёрка 1031 Plastik</t>
    </r>
    <r>
      <rPr>
        <sz val="8"/>
        <color indexed="63"/>
        <rFont val="Calibri"/>
        <family val="2"/>
      </rPr>
      <t xml:space="preserve"> </t>
    </r>
    <r>
      <rPr>
        <b/>
        <sz val="8"/>
        <color indexed="10"/>
        <rFont val="Calibri"/>
        <family val="2"/>
      </rPr>
      <t>lowcost</t>
    </r>
  </si>
  <si>
    <t>на январь 2016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</si>
</sst>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53"/>
      <name val="Calibri"/>
      <family val="2"/>
    </font>
    <font>
      <sz val="8"/>
      <color indexed="63"/>
      <name val="Calibri"/>
      <family val="2"/>
    </font>
    <font>
      <b/>
      <sz val="9"/>
      <name val="Calibri"/>
      <family val="2"/>
    </font>
    <font>
      <b/>
      <u val="single"/>
      <sz val="9"/>
      <name val="Calibri"/>
      <family val="2"/>
    </font>
    <font>
      <sz val="8"/>
      <color indexed="10"/>
      <name val="Calibri"/>
      <family val="2"/>
    </font>
    <font>
      <b/>
      <sz val="8"/>
      <color indexed="63"/>
      <name val="Calibri"/>
      <family val="2"/>
    </font>
    <font>
      <b/>
      <sz val="8"/>
      <color indexed="10"/>
      <name val="Calibri"/>
      <family val="2"/>
    </font>
    <font>
      <b/>
      <sz val="9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9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8"/>
      <color indexed="8"/>
      <name val="Calibri"/>
      <family val="2"/>
    </font>
    <font>
      <b/>
      <sz val="9"/>
      <color indexed="23"/>
      <name val="Calibri"/>
      <family val="2"/>
    </font>
    <font>
      <b/>
      <sz val="9"/>
      <color indexed="5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9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rgb="FF3F3F3F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8"/>
      <color rgb="FF3F3F3F"/>
      <name val="Calibri"/>
      <family val="2"/>
    </font>
    <font>
      <b/>
      <sz val="8"/>
      <color theme="1"/>
      <name val="Calibri"/>
      <family val="2"/>
    </font>
    <font>
      <b/>
      <sz val="18"/>
      <color theme="1"/>
      <name val="Calibri"/>
      <family val="2"/>
    </font>
    <font>
      <b/>
      <sz val="9"/>
      <color rgb="FFFF0000"/>
      <name val="Calibri"/>
      <family val="2"/>
    </font>
    <font>
      <b/>
      <sz val="9"/>
      <color theme="0" tint="-0.4999699890613556"/>
      <name val="Calibri"/>
      <family val="2"/>
    </font>
    <font>
      <b/>
      <sz val="9"/>
      <color theme="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rgb="FF3F3F3F"/>
      </bottom>
    </border>
    <border>
      <left>
        <color indexed="63"/>
      </left>
      <right style="thin">
        <color rgb="FF3F3F3F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>
        <color indexed="63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rgb="FF3F3F3F"/>
      </top>
      <bottom style="thin">
        <color rgb="FF3F3F3F"/>
      </bottom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3F3F3F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 style="thin">
        <color rgb="FF3F3F3F"/>
      </right>
      <top>
        <color indexed="63"/>
      </top>
      <bottom>
        <color indexed="63"/>
      </bottom>
    </border>
    <border>
      <left>
        <color indexed="63"/>
      </left>
      <right style="thin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>
        <color indexed="63"/>
      </right>
      <top style="thin">
        <color rgb="FF3F3F3F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11" borderId="10" applyAlignment="0">
      <protection/>
    </xf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27" borderId="2" xfId="40" applyFont="1" applyAlignment="1">
      <alignment/>
    </xf>
    <xf numFmtId="0" fontId="61" fillId="0" borderId="0" xfId="0" applyFont="1" applyAlignment="1">
      <alignment wrapText="1"/>
    </xf>
    <xf numFmtId="0" fontId="61" fillId="0" borderId="0" xfId="0" applyFont="1" applyAlignment="1">
      <alignment/>
    </xf>
    <xf numFmtId="0" fontId="55" fillId="7" borderId="1" xfId="20" applyFont="1" applyBorder="1" applyAlignment="1">
      <alignment/>
    </xf>
    <xf numFmtId="0" fontId="55" fillId="7" borderId="11" xfId="20" applyFont="1" applyBorder="1" applyAlignment="1">
      <alignment horizontal="left"/>
    </xf>
    <xf numFmtId="0" fontId="55" fillId="7" borderId="8" xfId="20" applyFont="1" applyBorder="1" applyAlignment="1">
      <alignment/>
    </xf>
    <xf numFmtId="0" fontId="55" fillId="7" borderId="12" xfId="20" applyFont="1" applyBorder="1" applyAlignment="1">
      <alignment horizontal="left"/>
    </xf>
    <xf numFmtId="0" fontId="55" fillId="7" borderId="0" xfId="20" applyFont="1" applyBorder="1" applyAlignment="1">
      <alignment horizontal="left"/>
    </xf>
    <xf numFmtId="0" fontId="55" fillId="7" borderId="2" xfId="20" applyFont="1" applyBorder="1" applyAlignment="1">
      <alignment horizontal="center" vertical="center" wrapText="1"/>
    </xf>
    <xf numFmtId="0" fontId="55" fillId="7" borderId="0" xfId="20" applyFont="1" applyAlignment="1">
      <alignment horizontal="left"/>
    </xf>
    <xf numFmtId="0" fontId="55" fillId="7" borderId="13" xfId="20" applyFont="1" applyBorder="1" applyAlignment="1">
      <alignment horizontal="center" vertical="center" wrapText="1"/>
    </xf>
    <xf numFmtId="0" fontId="59" fillId="7" borderId="1" xfId="20" applyFont="1" applyBorder="1" applyAlignment="1">
      <alignment/>
    </xf>
    <xf numFmtId="0" fontId="62" fillId="13" borderId="0" xfId="26" applyFont="1" applyAlignment="1">
      <alignment/>
    </xf>
    <xf numFmtId="0" fontId="63" fillId="27" borderId="2" xfId="40" applyFont="1" applyAlignment="1">
      <alignment horizontal="left"/>
    </xf>
    <xf numFmtId="0" fontId="63" fillId="27" borderId="2" xfId="40" applyFont="1" applyAlignment="1">
      <alignment/>
    </xf>
    <xf numFmtId="0" fontId="64" fillId="0" borderId="0" xfId="0" applyFont="1" applyAlignment="1">
      <alignment/>
    </xf>
    <xf numFmtId="0" fontId="59" fillId="0" borderId="0" xfId="0" applyFont="1" applyAlignment="1">
      <alignment wrapText="1"/>
    </xf>
    <xf numFmtId="0" fontId="59" fillId="7" borderId="2" xfId="20" applyFont="1" applyBorder="1" applyAlignment="1">
      <alignment/>
    </xf>
    <xf numFmtId="0" fontId="55" fillId="7" borderId="2" xfId="20" applyFont="1" applyBorder="1" applyAlignment="1">
      <alignment horizontal="center" vertical="top" wrapText="1"/>
    </xf>
    <xf numFmtId="0" fontId="55" fillId="7" borderId="2" xfId="20" applyFont="1" applyBorder="1" applyAlignment="1">
      <alignment/>
    </xf>
    <xf numFmtId="0" fontId="55" fillId="7" borderId="14" xfId="20" applyFont="1" applyBorder="1" applyAlignment="1">
      <alignment/>
    </xf>
    <xf numFmtId="0" fontId="55" fillId="7" borderId="15" xfId="20" applyFont="1" applyBorder="1" applyAlignment="1">
      <alignment horizontal="center"/>
    </xf>
    <xf numFmtId="0" fontId="55" fillId="7" borderId="0" xfId="20" applyFont="1" applyAlignment="1">
      <alignment/>
    </xf>
    <xf numFmtId="0" fontId="55" fillId="7" borderId="16" xfId="20" applyFont="1" applyBorder="1" applyAlignment="1">
      <alignment horizontal="left"/>
    </xf>
    <xf numFmtId="0" fontId="43" fillId="0" borderId="0" xfId="42" applyAlignment="1" applyProtection="1">
      <alignment/>
      <protection/>
    </xf>
    <xf numFmtId="0" fontId="64" fillId="7" borderId="2" xfId="20" applyFont="1" applyBorder="1" applyAlignment="1">
      <alignment/>
    </xf>
    <xf numFmtId="0" fontId="34" fillId="19" borderId="0" xfId="32" applyFont="1" applyAlignment="1">
      <alignment horizontal="right"/>
    </xf>
    <xf numFmtId="0" fontId="35" fillId="13" borderId="0" xfId="26" applyFont="1" applyAlignment="1">
      <alignment/>
    </xf>
    <xf numFmtId="0" fontId="60" fillId="27" borderId="16" xfId="40" applyFont="1" applyBorder="1" applyAlignment="1">
      <alignment horizontal="center" vertical="center"/>
    </xf>
    <xf numFmtId="0" fontId="60" fillId="27" borderId="2" xfId="40" applyFont="1" applyAlignment="1">
      <alignment horizontal="center" vertical="center"/>
    </xf>
    <xf numFmtId="0" fontId="55" fillId="13" borderId="0" xfId="26" applyFont="1" applyAlignment="1">
      <alignment horizontal="center" vertical="center"/>
    </xf>
    <xf numFmtId="0" fontId="59" fillId="7" borderId="2" xfId="20" applyFont="1" applyBorder="1" applyAlignment="1">
      <alignment horizontal="center" vertical="center"/>
    </xf>
    <xf numFmtId="0" fontId="59" fillId="7" borderId="16" xfId="20" applyFont="1" applyBorder="1" applyAlignment="1">
      <alignment horizontal="left"/>
    </xf>
    <xf numFmtId="0" fontId="59" fillId="7" borderId="17" xfId="20" applyFont="1" applyBorder="1" applyAlignment="1">
      <alignment horizontal="center"/>
    </xf>
    <xf numFmtId="0" fontId="59" fillId="7" borderId="1" xfId="20" applyFont="1" applyBorder="1" applyAlignment="1">
      <alignment horizontal="center" vertical="center"/>
    </xf>
    <xf numFmtId="0" fontId="59" fillId="7" borderId="15" xfId="20" applyFont="1" applyBorder="1" applyAlignment="1">
      <alignment horizontal="left"/>
    </xf>
    <xf numFmtId="0" fontId="58" fillId="7" borderId="2" xfId="20" applyFont="1" applyBorder="1" applyAlignment="1">
      <alignment horizontal="center" vertical="center"/>
    </xf>
    <xf numFmtId="0" fontId="58" fillId="7" borderId="16" xfId="20" applyFont="1" applyBorder="1" applyAlignment="1">
      <alignment horizontal="left"/>
    </xf>
    <xf numFmtId="0" fontId="58" fillId="7" borderId="15" xfId="20" applyFont="1" applyBorder="1" applyAlignment="1">
      <alignment horizontal="center"/>
    </xf>
    <xf numFmtId="0" fontId="55" fillId="7" borderId="2" xfId="20" applyFont="1" applyBorder="1" applyAlignment="1">
      <alignment horizontal="center" vertical="center"/>
    </xf>
    <xf numFmtId="0" fontId="34" fillId="19" borderId="0" xfId="32" applyFont="1" applyAlignment="1">
      <alignment horizontal="center" vertical="center"/>
    </xf>
    <xf numFmtId="0" fontId="55" fillId="7" borderId="0" xfId="20" applyFont="1" applyAlignment="1">
      <alignment horizontal="left"/>
    </xf>
    <xf numFmtId="0" fontId="55" fillId="7" borderId="0" xfId="20" applyFont="1" applyAlignment="1">
      <alignment horizontal="left"/>
    </xf>
    <xf numFmtId="0" fontId="55" fillId="7" borderId="0" xfId="20" applyFont="1" applyAlignment="1">
      <alignment horizontal="left"/>
    </xf>
    <xf numFmtId="0" fontId="34" fillId="19" borderId="0" xfId="32" applyFont="1" applyAlignment="1">
      <alignment horizontal="right"/>
    </xf>
    <xf numFmtId="0" fontId="55" fillId="7" borderId="0" xfId="20" applyFont="1" applyAlignment="1">
      <alignment horizontal="left"/>
    </xf>
    <xf numFmtId="0" fontId="64" fillId="7" borderId="18" xfId="20" applyFont="1" applyBorder="1" applyAlignment="1">
      <alignment/>
    </xf>
    <xf numFmtId="0" fontId="34" fillId="19" borderId="0" xfId="32" applyFont="1" applyAlignment="1">
      <alignment horizontal="right"/>
    </xf>
    <xf numFmtId="2" fontId="59" fillId="0" borderId="0" xfId="0" applyNumberFormat="1" applyFont="1" applyAlignment="1">
      <alignment/>
    </xf>
    <xf numFmtId="2" fontId="55" fillId="7" borderId="0" xfId="20" applyNumberFormat="1" applyFont="1" applyAlignment="1">
      <alignment horizontal="center"/>
    </xf>
    <xf numFmtId="2" fontId="55" fillId="7" borderId="19" xfId="20" applyNumberFormat="1" applyFont="1" applyBorder="1" applyAlignment="1">
      <alignment horizontal="left"/>
    </xf>
    <xf numFmtId="2" fontId="58" fillId="0" borderId="0" xfId="0" applyNumberFormat="1" applyFont="1" applyAlignment="1">
      <alignment/>
    </xf>
    <xf numFmtId="2" fontId="63" fillId="27" borderId="2" xfId="40" applyNumberFormat="1" applyFont="1" applyAlignment="1">
      <alignment horizontal="left"/>
    </xf>
    <xf numFmtId="2" fontId="55" fillId="7" borderId="2" xfId="20" applyNumberFormat="1" applyFont="1" applyBorder="1" applyAlignment="1">
      <alignment horizontal="left"/>
    </xf>
    <xf numFmtId="2" fontId="0" fillId="7" borderId="2" xfId="20" applyNumberFormat="1" applyBorder="1" applyAlignment="1">
      <alignment/>
    </xf>
    <xf numFmtId="2" fontId="0" fillId="7" borderId="2" xfId="20" applyNumberFormat="1" applyBorder="1" applyAlignment="1">
      <alignment horizontal="center" vertical="center" textRotation="255"/>
    </xf>
    <xf numFmtId="2" fontId="55" fillId="7" borderId="2" xfId="20" applyNumberFormat="1" applyFont="1" applyBorder="1" applyAlignment="1">
      <alignment horizontal="left" vertical="center"/>
    </xf>
    <xf numFmtId="2" fontId="0" fillId="7" borderId="2" xfId="20" applyNumberFormat="1" applyBorder="1" applyAlignment="1">
      <alignment vertical="center"/>
    </xf>
    <xf numFmtId="2" fontId="55" fillId="7" borderId="12" xfId="20" applyNumberFormat="1" applyFont="1" applyBorder="1" applyAlignment="1">
      <alignment horizontal="left"/>
    </xf>
    <xf numFmtId="2" fontId="63" fillId="27" borderId="2" xfId="40" applyNumberFormat="1" applyFont="1" applyAlignment="1">
      <alignment/>
    </xf>
    <xf numFmtId="2" fontId="55" fillId="7" borderId="0" xfId="20" applyNumberFormat="1" applyFont="1" applyAlignment="1">
      <alignment horizontal="left"/>
    </xf>
    <xf numFmtId="2" fontId="55" fillId="7" borderId="0" xfId="20" applyNumberFormat="1" applyFont="1" applyAlignment="1">
      <alignment/>
    </xf>
    <xf numFmtId="2" fontId="55" fillId="7" borderId="11" xfId="20" applyNumberFormat="1" applyFont="1" applyBorder="1" applyAlignment="1">
      <alignment/>
    </xf>
    <xf numFmtId="2" fontId="55" fillId="0" borderId="0" xfId="0" applyNumberFormat="1" applyFont="1" applyAlignment="1">
      <alignment/>
    </xf>
    <xf numFmtId="2" fontId="61" fillId="0" borderId="0" xfId="0" applyNumberFormat="1" applyFont="1" applyAlignment="1">
      <alignment wrapText="1"/>
    </xf>
    <xf numFmtId="2" fontId="61" fillId="0" borderId="0" xfId="0" applyNumberFormat="1" applyFont="1" applyAlignment="1">
      <alignment/>
    </xf>
    <xf numFmtId="0" fontId="60" fillId="27" borderId="2" xfId="40" applyNumberFormat="1" applyFont="1" applyAlignment="1">
      <alignment/>
    </xf>
    <xf numFmtId="0" fontId="0" fillId="7" borderId="2" xfId="20" applyNumberFormat="1" applyBorder="1" applyAlignment="1">
      <alignment/>
    </xf>
    <xf numFmtId="2" fontId="65" fillId="7" borderId="0" xfId="20" applyNumberFormat="1" applyFont="1" applyAlignment="1">
      <alignment horizontal="center" vertical="center"/>
    </xf>
    <xf numFmtId="0" fontId="55" fillId="7" borderId="1" xfId="20" applyNumberFormat="1" applyFont="1" applyBorder="1" applyAlignment="1">
      <alignment horizontal="right"/>
    </xf>
    <xf numFmtId="0" fontId="55" fillId="7" borderId="1" xfId="20" applyNumberFormat="1" applyFont="1" applyBorder="1" applyAlignment="1">
      <alignment/>
    </xf>
    <xf numFmtId="2" fontId="55" fillId="7" borderId="0" xfId="20" applyNumberFormat="1" applyFont="1" applyAlignment="1">
      <alignment/>
    </xf>
    <xf numFmtId="0" fontId="55" fillId="7" borderId="2" xfId="20" applyNumberFormat="1" applyFont="1" applyBorder="1" applyAlignment="1">
      <alignment/>
    </xf>
    <xf numFmtId="0" fontId="60" fillId="27" borderId="2" xfId="40" applyNumberFormat="1" applyFont="1" applyAlignment="1">
      <alignment horizontal="center" vertical="center"/>
    </xf>
    <xf numFmtId="0" fontId="55" fillId="7" borderId="0" xfId="20" applyNumberFormat="1" applyFont="1" applyBorder="1" applyAlignment="1">
      <alignment horizontal="left"/>
    </xf>
    <xf numFmtId="0" fontId="55" fillId="7" borderId="20" xfId="20" applyNumberFormat="1" applyFont="1" applyBorder="1" applyAlignment="1">
      <alignment horizontal="left"/>
    </xf>
    <xf numFmtId="0" fontId="55" fillId="7" borderId="0" xfId="20" applyNumberFormat="1" applyFont="1" applyAlignment="1">
      <alignment horizontal="left"/>
    </xf>
    <xf numFmtId="0" fontId="63" fillId="27" borderId="2" xfId="40" applyNumberFormat="1" applyFont="1" applyAlignment="1">
      <alignment/>
    </xf>
    <xf numFmtId="0" fontId="55" fillId="7" borderId="8" xfId="20" applyNumberFormat="1" applyFont="1" applyBorder="1" applyAlignment="1">
      <alignment/>
    </xf>
    <xf numFmtId="0" fontId="35" fillId="13" borderId="0" xfId="26" applyNumberFormat="1" applyFont="1" applyAlignment="1">
      <alignment/>
    </xf>
    <xf numFmtId="0" fontId="34" fillId="19" borderId="0" xfId="32" applyNumberFormat="1" applyFont="1" applyAlignment="1">
      <alignment horizontal="right"/>
    </xf>
    <xf numFmtId="2" fontId="4" fillId="27" borderId="2" xfId="40" applyNumberFormat="1" applyFont="1" applyAlignment="1">
      <alignment horizontal="left"/>
    </xf>
    <xf numFmtId="0" fontId="55" fillId="7" borderId="0" xfId="20" applyFont="1" applyAlignment="1">
      <alignment horizontal="center" vertical="center"/>
    </xf>
    <xf numFmtId="2" fontId="0" fillId="7" borderId="13" xfId="20" applyNumberFormat="1" applyBorder="1" applyAlignment="1">
      <alignment horizontal="center" vertical="center" textRotation="255"/>
    </xf>
    <xf numFmtId="2" fontId="60" fillId="27" borderId="2" xfId="40" applyNumberFormat="1" applyFont="1" applyAlignment="1">
      <alignment horizontal="left"/>
    </xf>
    <xf numFmtId="0" fontId="0" fillId="7" borderId="2" xfId="20" applyBorder="1" applyAlignment="1">
      <alignment horizontal="left"/>
    </xf>
    <xf numFmtId="0" fontId="60" fillId="27" borderId="2" xfId="40" applyFont="1" applyAlignment="1">
      <alignment horizontal="left"/>
    </xf>
    <xf numFmtId="0" fontId="55" fillId="7" borderId="0" xfId="20" applyNumberFormat="1" applyFont="1" applyBorder="1" applyAlignment="1">
      <alignment/>
    </xf>
    <xf numFmtId="2" fontId="0" fillId="7" borderId="2" xfId="20" applyNumberFormat="1" applyBorder="1" applyAlignment="1">
      <alignment horizontal="left"/>
    </xf>
    <xf numFmtId="0" fontId="59" fillId="7" borderId="2" xfId="20" applyNumberFormat="1" applyFont="1" applyBorder="1" applyAlignment="1">
      <alignment/>
    </xf>
    <xf numFmtId="0" fontId="59" fillId="7" borderId="2" xfId="20" applyNumberFormat="1" applyFont="1" applyBorder="1" applyAlignment="1">
      <alignment horizontal="center" vertical="center"/>
    </xf>
    <xf numFmtId="0" fontId="60" fillId="27" borderId="2" xfId="40" applyNumberFormat="1" applyFont="1" applyAlignment="1">
      <alignment horizontal="right"/>
    </xf>
    <xf numFmtId="0" fontId="60" fillId="27" borderId="2" xfId="40" applyNumberFormat="1" applyFont="1" applyAlignment="1">
      <alignment horizontal="right" vertical="center"/>
    </xf>
    <xf numFmtId="0" fontId="59" fillId="7" borderId="2" xfId="20" applyNumberFormat="1" applyFont="1" applyBorder="1" applyAlignment="1">
      <alignment horizontal="right" vertical="center"/>
    </xf>
    <xf numFmtId="2" fontId="59" fillId="0" borderId="0" xfId="0" applyNumberFormat="1" applyFont="1" applyAlignment="1">
      <alignment horizontal="right"/>
    </xf>
    <xf numFmtId="0" fontId="0" fillId="7" borderId="2" xfId="20" applyNumberFormat="1" applyBorder="1" applyAlignment="1">
      <alignment horizontal="right" vertical="center" textRotation="255"/>
    </xf>
    <xf numFmtId="0" fontId="0" fillId="7" borderId="2" xfId="20" applyNumberFormat="1" applyBorder="1" applyAlignment="1">
      <alignment vertical="center" textRotation="255"/>
    </xf>
    <xf numFmtId="0" fontId="60" fillId="27" borderId="10" xfId="40" applyNumberFormat="1" applyFont="1" applyBorder="1" applyAlignment="1">
      <alignment horizontal="right" vertical="center"/>
    </xf>
    <xf numFmtId="0" fontId="66" fillId="7" borderId="1" xfId="20" applyNumberFormat="1" applyFont="1" applyBorder="1" applyAlignment="1">
      <alignment horizontal="right"/>
    </xf>
    <xf numFmtId="0" fontId="67" fillId="7" borderId="0" xfId="20" applyFont="1" applyAlignment="1">
      <alignment horizontal="center" vertical="center"/>
    </xf>
    <xf numFmtId="0" fontId="55" fillId="7" borderId="2" xfId="20" applyFont="1" applyBorder="1" applyAlignment="1">
      <alignment horizontal="left"/>
    </xf>
    <xf numFmtId="0" fontId="47" fillId="7" borderId="2" xfId="20" applyFont="1" applyBorder="1" applyAlignment="1">
      <alignment/>
    </xf>
    <xf numFmtId="0" fontId="47" fillId="7" borderId="2" xfId="20" applyFont="1" applyBorder="1" applyAlignment="1">
      <alignment horizontal="center" vertical="center"/>
    </xf>
    <xf numFmtId="0" fontId="55" fillId="7" borderId="2" xfId="20" applyFont="1" applyBorder="1" applyAlignment="1">
      <alignment horizontal="left" vertical="center"/>
    </xf>
    <xf numFmtId="2" fontId="63" fillId="27" borderId="2" xfId="40" applyNumberFormat="1" applyFont="1" applyAlignment="1">
      <alignment horizontal="left"/>
    </xf>
    <xf numFmtId="0" fontId="66" fillId="7" borderId="2" xfId="20" applyNumberFormat="1" applyFont="1" applyBorder="1" applyAlignment="1">
      <alignment/>
    </xf>
    <xf numFmtId="2" fontId="55" fillId="7" borderId="0" xfId="20" applyNumberFormat="1" applyFont="1" applyAlignment="1">
      <alignment horizontal="left"/>
    </xf>
    <xf numFmtId="0" fontId="0" fillId="7" borderId="2" xfId="20" applyNumberFormat="1" applyBorder="1" applyAlignment="1">
      <alignment horizontal="center" vertical="center"/>
    </xf>
    <xf numFmtId="0" fontId="0" fillId="7" borderId="2" xfId="20" applyNumberFormat="1" applyBorder="1" applyAlignment="1">
      <alignment vertical="center"/>
    </xf>
    <xf numFmtId="0" fontId="60" fillId="27" borderId="2" xfId="40" applyNumberFormat="1" applyFont="1" applyAlignment="1">
      <alignment vertical="center"/>
    </xf>
    <xf numFmtId="2" fontId="59" fillId="0" borderId="0" xfId="0" applyNumberFormat="1" applyFont="1" applyAlignment="1">
      <alignment vertical="center"/>
    </xf>
    <xf numFmtId="2" fontId="63" fillId="27" borderId="2" xfId="40" applyNumberFormat="1" applyFont="1" applyAlignment="1">
      <alignment horizontal="left" vertical="center"/>
    </xf>
    <xf numFmtId="0" fontId="0" fillId="7" borderId="2" xfId="20" applyNumberFormat="1" applyBorder="1" applyAlignment="1">
      <alignment horizontal="right" vertical="center"/>
    </xf>
    <xf numFmtId="0" fontId="66" fillId="7" borderId="1" xfId="20" applyNumberFormat="1" applyFont="1" applyBorder="1" applyAlignment="1">
      <alignment/>
    </xf>
    <xf numFmtId="0" fontId="58" fillId="7" borderId="2" xfId="20" applyNumberFormat="1" applyFont="1" applyBorder="1" applyAlignment="1">
      <alignment vertical="center"/>
    </xf>
    <xf numFmtId="0" fontId="55" fillId="7" borderId="2" xfId="20" applyNumberFormat="1" applyFont="1" applyBorder="1" applyAlignment="1">
      <alignment vertical="center"/>
    </xf>
    <xf numFmtId="0" fontId="55" fillId="7" borderId="2" xfId="20" applyNumberFormat="1" applyFont="1" applyBorder="1" applyAlignment="1">
      <alignment horizontal="right" vertical="center"/>
    </xf>
    <xf numFmtId="2" fontId="68" fillId="0" borderId="0" xfId="0" applyNumberFormat="1" applyFont="1" applyAlignment="1">
      <alignment horizontal="center"/>
    </xf>
    <xf numFmtId="2" fontId="60" fillId="27" borderId="21" xfId="40" applyNumberFormat="1" applyFont="1" applyBorder="1" applyAlignment="1">
      <alignment horizontal="center" vertical="center" textRotation="255"/>
    </xf>
    <xf numFmtId="2" fontId="60" fillId="27" borderId="22" xfId="40" applyNumberFormat="1" applyFont="1" applyBorder="1" applyAlignment="1">
      <alignment horizontal="center" vertical="center" textRotation="255"/>
    </xf>
    <xf numFmtId="2" fontId="60" fillId="27" borderId="13" xfId="40" applyNumberFormat="1" applyFont="1" applyBorder="1" applyAlignment="1">
      <alignment horizontal="center" vertical="center" textRotation="255"/>
    </xf>
    <xf numFmtId="0" fontId="60" fillId="27" borderId="21" xfId="40" applyNumberFormat="1" applyFont="1" applyBorder="1" applyAlignment="1">
      <alignment horizontal="center" vertical="center"/>
    </xf>
    <xf numFmtId="0" fontId="60" fillId="27" borderId="13" xfId="40" applyNumberFormat="1" applyFont="1" applyBorder="1" applyAlignment="1">
      <alignment horizontal="center" vertical="center"/>
    </xf>
    <xf numFmtId="0" fontId="34" fillId="19" borderId="0" xfId="32" applyNumberFormat="1" applyFont="1" applyAlignment="1">
      <alignment horizontal="right"/>
    </xf>
    <xf numFmtId="2" fontId="55" fillId="7" borderId="2" xfId="20" applyNumberFormat="1" applyFont="1" applyBorder="1" applyAlignment="1">
      <alignment horizontal="center" vertical="center" wrapText="1"/>
    </xf>
    <xf numFmtId="2" fontId="5" fillId="19" borderId="10" xfId="32" applyNumberFormat="1" applyFont="1" applyBorder="1" applyAlignment="1">
      <alignment horizontal="left" wrapText="1"/>
    </xf>
    <xf numFmtId="2" fontId="5" fillId="19" borderId="10" xfId="32" applyNumberFormat="1" applyFont="1" applyBorder="1" applyAlignment="1">
      <alignment horizontal="left"/>
    </xf>
    <xf numFmtId="0" fontId="35" fillId="13" borderId="0" xfId="26" applyNumberFormat="1" applyFont="1" applyAlignment="1">
      <alignment horizontal="right"/>
    </xf>
    <xf numFmtId="2" fontId="55" fillId="7" borderId="0" xfId="20" applyNumberFormat="1" applyFont="1" applyAlignment="1">
      <alignment horizontal="left"/>
    </xf>
    <xf numFmtId="2" fontId="55" fillId="7" borderId="21" xfId="20" applyNumberFormat="1" applyFont="1" applyBorder="1" applyAlignment="1">
      <alignment horizontal="center" vertical="center" wrapText="1"/>
    </xf>
    <xf numFmtId="2" fontId="55" fillId="7" borderId="13" xfId="20" applyNumberFormat="1" applyFont="1" applyBorder="1" applyAlignment="1">
      <alignment horizontal="center" vertical="center" wrapText="1"/>
    </xf>
    <xf numFmtId="2" fontId="55" fillId="7" borderId="16" xfId="20" applyNumberFormat="1" applyFont="1" applyBorder="1" applyAlignment="1">
      <alignment horizontal="left"/>
    </xf>
    <xf numFmtId="2" fontId="55" fillId="7" borderId="18" xfId="20" applyNumberFormat="1" applyFont="1" applyBorder="1" applyAlignment="1">
      <alignment horizontal="left"/>
    </xf>
    <xf numFmtId="2" fontId="55" fillId="7" borderId="17" xfId="20" applyNumberFormat="1" applyFont="1" applyBorder="1" applyAlignment="1">
      <alignment horizontal="left"/>
    </xf>
    <xf numFmtId="2" fontId="55" fillId="7" borderId="19" xfId="20" applyNumberFormat="1" applyFont="1" applyBorder="1" applyAlignment="1">
      <alignment horizontal="center"/>
    </xf>
    <xf numFmtId="2" fontId="55" fillId="7" borderId="23" xfId="20" applyNumberFormat="1" applyFont="1" applyBorder="1" applyAlignment="1">
      <alignment horizontal="center"/>
    </xf>
    <xf numFmtId="0" fontId="62" fillId="0" borderId="0" xfId="0" applyFont="1" applyAlignment="1">
      <alignment horizontal="center" vertical="center"/>
    </xf>
    <xf numFmtId="0" fontId="60" fillId="27" borderId="21" xfId="40" applyFont="1" applyBorder="1" applyAlignment="1">
      <alignment horizontal="center" vertical="center"/>
    </xf>
    <xf numFmtId="0" fontId="60" fillId="27" borderId="22" xfId="40" applyFont="1" applyBorder="1" applyAlignment="1">
      <alignment horizontal="center" vertical="center"/>
    </xf>
    <xf numFmtId="0" fontId="60" fillId="27" borderId="13" xfId="40" applyFont="1" applyBorder="1" applyAlignment="1">
      <alignment horizontal="center" vertical="center"/>
    </xf>
    <xf numFmtId="0" fontId="35" fillId="13" borderId="0" xfId="26" applyFont="1" applyAlignment="1">
      <alignment horizontal="right"/>
    </xf>
    <xf numFmtId="0" fontId="34" fillId="19" borderId="0" xfId="32" applyFont="1" applyAlignment="1">
      <alignment horizontal="right"/>
    </xf>
    <xf numFmtId="0" fontId="55" fillId="7" borderId="18" xfId="20" applyFont="1" applyBorder="1" applyAlignment="1">
      <alignment horizontal="center"/>
    </xf>
    <xf numFmtId="0" fontId="55" fillId="7" borderId="17" xfId="20" applyFont="1" applyBorder="1" applyAlignment="1">
      <alignment horizontal="center"/>
    </xf>
    <xf numFmtId="0" fontId="64" fillId="7" borderId="18" xfId="20" applyFont="1" applyBorder="1" applyAlignment="1">
      <alignment horizontal="center"/>
    </xf>
    <xf numFmtId="0" fontId="64" fillId="7" borderId="17" xfId="20" applyFont="1" applyBorder="1" applyAlignment="1">
      <alignment horizontal="center"/>
    </xf>
    <xf numFmtId="0" fontId="5" fillId="19" borderId="0" xfId="32" applyFont="1" applyBorder="1" applyAlignment="1">
      <alignment horizontal="left" vertical="top" wrapText="1"/>
    </xf>
    <xf numFmtId="0" fontId="5" fillId="19" borderId="10" xfId="32" applyFont="1" applyBorder="1" applyAlignment="1">
      <alignment horizontal="left" vertical="top" wrapText="1"/>
    </xf>
    <xf numFmtId="0" fontId="55" fillId="7" borderId="2" xfId="20" applyFont="1" applyBorder="1" applyAlignment="1">
      <alignment horizontal="center" vertical="center" wrapText="1"/>
    </xf>
    <xf numFmtId="0" fontId="55" fillId="7" borderId="21" xfId="20" applyFont="1" applyBorder="1" applyAlignment="1">
      <alignment horizontal="center" vertical="center" wrapText="1"/>
    </xf>
    <xf numFmtId="0" fontId="55" fillId="7" borderId="13" xfId="20" applyFont="1" applyBorder="1" applyAlignment="1">
      <alignment horizontal="center" vertical="center" wrapText="1"/>
    </xf>
    <xf numFmtId="0" fontId="39" fillId="19" borderId="0" xfId="32" applyFont="1" applyAlignment="1">
      <alignment horizontal="right"/>
    </xf>
    <xf numFmtId="0" fontId="68" fillId="0" borderId="0" xfId="0" applyFont="1" applyAlignment="1">
      <alignment horizontal="center"/>
    </xf>
    <xf numFmtId="0" fontId="5" fillId="19" borderId="10" xfId="32" applyFont="1" applyBorder="1" applyAlignment="1">
      <alignment horizontal="left" wrapText="1"/>
    </xf>
    <xf numFmtId="0" fontId="5" fillId="19" borderId="10" xfId="32" applyFont="1" applyBorder="1" applyAlignment="1">
      <alignment horizontal="left"/>
    </xf>
    <xf numFmtId="0" fontId="62" fillId="13" borderId="0" xfId="26" applyFont="1" applyAlignment="1">
      <alignment horizontal="right"/>
    </xf>
    <xf numFmtId="0" fontId="55" fillId="7" borderId="24" xfId="20" applyFont="1" applyBorder="1" applyAlignment="1">
      <alignment horizontal="left" vertical="center" wrapText="1"/>
    </xf>
    <xf numFmtId="0" fontId="55" fillId="7" borderId="19" xfId="20" applyFont="1" applyBorder="1" applyAlignment="1">
      <alignment horizontal="left" vertical="center" wrapText="1"/>
    </xf>
    <xf numFmtId="0" fontId="55" fillId="7" borderId="23" xfId="20" applyFont="1" applyBorder="1" applyAlignment="1">
      <alignment horizontal="left" vertical="center" wrapText="1"/>
    </xf>
    <xf numFmtId="0" fontId="55" fillId="13" borderId="0" xfId="26" applyFont="1" applyAlignment="1">
      <alignment horizontal="right"/>
    </xf>
    <xf numFmtId="0" fontId="55" fillId="13" borderId="0" xfId="26" applyFont="1" applyAlignment="1" quotePrefix="1">
      <alignment horizontal="right"/>
    </xf>
    <xf numFmtId="0" fontId="0" fillId="0" borderId="0" xfId="0" applyAlignment="1">
      <alignment horizontal="center"/>
    </xf>
    <xf numFmtId="0" fontId="5" fillId="19" borderId="10" xfId="32" applyFont="1" applyBorder="1" applyAlignment="1">
      <alignment wrapText="1"/>
    </xf>
    <xf numFmtId="0" fontId="6" fillId="19" borderId="18" xfId="42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ерый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1152525</xdr:colOff>
      <xdr:row>3</xdr:row>
      <xdr:rowOff>0</xdr:rowOff>
    </xdr:from>
    <xdr:to>
      <xdr:col>0</xdr:col>
      <xdr:colOff>1304925</xdr:colOff>
      <xdr:row>4</xdr:row>
      <xdr:rowOff>9525</xdr:rowOff>
    </xdr:to>
    <xdr:pic>
      <xdr:nvPicPr>
        <xdr:cNvPr id="1" name="Рисунок 3" descr="favic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771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457200</xdr:colOff>
      <xdr:row>45</xdr:row>
      <xdr:rowOff>152400</xdr:rowOff>
    </xdr:from>
    <xdr:to>
      <xdr:col>5</xdr:col>
      <xdr:colOff>552450</xdr:colOff>
      <xdr:row>47</xdr:row>
      <xdr:rowOff>66675</xdr:rowOff>
    </xdr:to>
    <xdr:sp>
      <xdr:nvSpPr>
        <xdr:cNvPr id="2" name="Прямая со стрелкой 3"/>
        <xdr:cNvSpPr>
          <a:spLocks/>
        </xdr:cNvSpPr>
      </xdr:nvSpPr>
      <xdr:spPr>
        <a:xfrm flipH="1">
          <a:off x="4362450" y="6305550"/>
          <a:ext cx="95250" cy="2000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45</xdr:row>
      <xdr:rowOff>152400</xdr:rowOff>
    </xdr:from>
    <xdr:to>
      <xdr:col>0</xdr:col>
      <xdr:colOff>142875</xdr:colOff>
      <xdr:row>47</xdr:row>
      <xdr:rowOff>57150</xdr:rowOff>
    </xdr:to>
    <xdr:sp>
      <xdr:nvSpPr>
        <xdr:cNvPr id="3" name="Прямая со стрелкой 4"/>
        <xdr:cNvSpPr>
          <a:spLocks/>
        </xdr:cNvSpPr>
      </xdr:nvSpPr>
      <xdr:spPr>
        <a:xfrm>
          <a:off x="47625" y="6305550"/>
          <a:ext cx="95250" cy="190500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3</xdr:row>
      <xdr:rowOff>0</xdr:rowOff>
    </xdr:from>
    <xdr:to>
      <xdr:col>0</xdr:col>
      <xdr:colOff>752475</xdr:colOff>
      <xdr:row>4</xdr:row>
      <xdr:rowOff>9525</xdr:rowOff>
    </xdr:to>
    <xdr:pic>
      <xdr:nvPicPr>
        <xdr:cNvPr id="1" name="Рисунок 1" descr="favic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790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141</xdr:row>
      <xdr:rowOff>0</xdr:rowOff>
    </xdr:from>
    <xdr:to>
      <xdr:col>0</xdr:col>
      <xdr:colOff>552450</xdr:colOff>
      <xdr:row>142</xdr:row>
      <xdr:rowOff>9525</xdr:rowOff>
    </xdr:to>
    <xdr:pic>
      <xdr:nvPicPr>
        <xdr:cNvPr id="2" name="Рисунок 2" descr="f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8745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828675</xdr:colOff>
      <xdr:row>63</xdr:row>
      <xdr:rowOff>0</xdr:rowOff>
    </xdr:from>
    <xdr:to>
      <xdr:col>0</xdr:col>
      <xdr:colOff>981075</xdr:colOff>
      <xdr:row>64</xdr:row>
      <xdr:rowOff>9525</xdr:rowOff>
    </xdr:to>
    <xdr:pic>
      <xdr:nvPicPr>
        <xdr:cNvPr id="3" name="Рисунок 3" descr="iconjpe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85058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676275</xdr:colOff>
      <xdr:row>146</xdr:row>
      <xdr:rowOff>0</xdr:rowOff>
    </xdr:from>
    <xdr:to>
      <xdr:col>4</xdr:col>
      <xdr:colOff>800100</xdr:colOff>
      <xdr:row>147</xdr:row>
      <xdr:rowOff>38100</xdr:rowOff>
    </xdr:to>
    <xdr:sp>
      <xdr:nvSpPr>
        <xdr:cNvPr id="4" name="Прямая со стрелкой 4"/>
        <xdr:cNvSpPr>
          <a:spLocks/>
        </xdr:cNvSpPr>
      </xdr:nvSpPr>
      <xdr:spPr>
        <a:xfrm flipH="1">
          <a:off x="4819650" y="19507200"/>
          <a:ext cx="123825" cy="1619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146</xdr:row>
      <xdr:rowOff>0</xdr:rowOff>
    </xdr:from>
    <xdr:to>
      <xdr:col>0</xdr:col>
      <xdr:colOff>190500</xdr:colOff>
      <xdr:row>147</xdr:row>
      <xdr:rowOff>47625</xdr:rowOff>
    </xdr:to>
    <xdr:sp>
      <xdr:nvSpPr>
        <xdr:cNvPr id="5" name="Прямая со стрелкой 5"/>
        <xdr:cNvSpPr>
          <a:spLocks/>
        </xdr:cNvSpPr>
      </xdr:nvSpPr>
      <xdr:spPr>
        <a:xfrm>
          <a:off x="76200" y="19507200"/>
          <a:ext cx="114300" cy="171450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914400</xdr:colOff>
      <xdr:row>4</xdr:row>
      <xdr:rowOff>9525</xdr:rowOff>
    </xdr:from>
    <xdr:to>
      <xdr:col>0</xdr:col>
      <xdr:colOff>1066800</xdr:colOff>
      <xdr:row>5</xdr:row>
      <xdr:rowOff>9525</xdr:rowOff>
    </xdr:to>
    <xdr:pic>
      <xdr:nvPicPr>
        <xdr:cNvPr id="1" name="Рисунок 1" descr="favic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09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647700</xdr:colOff>
      <xdr:row>90</xdr:row>
      <xdr:rowOff>47625</xdr:rowOff>
    </xdr:from>
    <xdr:to>
      <xdr:col>4</xdr:col>
      <xdr:colOff>742950</xdr:colOff>
      <xdr:row>91</xdr:row>
      <xdr:rowOff>123825</xdr:rowOff>
    </xdr:to>
    <xdr:sp>
      <xdr:nvSpPr>
        <xdr:cNvPr id="2" name="Прямая со стрелкой 7"/>
        <xdr:cNvSpPr>
          <a:spLocks/>
        </xdr:cNvSpPr>
      </xdr:nvSpPr>
      <xdr:spPr>
        <a:xfrm flipH="1">
          <a:off x="5581650" y="12287250"/>
          <a:ext cx="95250" cy="2000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90</xdr:row>
      <xdr:rowOff>47625</xdr:rowOff>
    </xdr:from>
    <xdr:to>
      <xdr:col>0</xdr:col>
      <xdr:colOff>333375</xdr:colOff>
      <xdr:row>91</xdr:row>
      <xdr:rowOff>114300</xdr:rowOff>
    </xdr:to>
    <xdr:sp>
      <xdr:nvSpPr>
        <xdr:cNvPr id="3" name="Прямая со стрелкой 19"/>
        <xdr:cNvSpPr>
          <a:spLocks/>
        </xdr:cNvSpPr>
      </xdr:nvSpPr>
      <xdr:spPr>
        <a:xfrm>
          <a:off x="238125" y="12287250"/>
          <a:ext cx="95250" cy="190500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3</xdr:row>
      <xdr:rowOff>0</xdr:rowOff>
    </xdr:from>
    <xdr:to>
      <xdr:col>0</xdr:col>
      <xdr:colOff>781050</xdr:colOff>
      <xdr:row>4</xdr:row>
      <xdr:rowOff>9525</xdr:rowOff>
    </xdr:to>
    <xdr:pic>
      <xdr:nvPicPr>
        <xdr:cNvPr id="1" name="Рисунок 1" descr="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7152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571500</xdr:colOff>
      <xdr:row>18</xdr:row>
      <xdr:rowOff>0</xdr:rowOff>
    </xdr:from>
    <xdr:to>
      <xdr:col>3</xdr:col>
      <xdr:colOff>666750</xdr:colOff>
      <xdr:row>19</xdr:row>
      <xdr:rowOff>76200</xdr:rowOff>
    </xdr:to>
    <xdr:sp>
      <xdr:nvSpPr>
        <xdr:cNvPr id="2" name="Прямая со стрелкой 2"/>
        <xdr:cNvSpPr>
          <a:spLocks/>
        </xdr:cNvSpPr>
      </xdr:nvSpPr>
      <xdr:spPr>
        <a:xfrm flipH="1">
          <a:off x="3914775" y="2771775"/>
          <a:ext cx="95250" cy="2000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18</xdr:row>
      <xdr:rowOff>0</xdr:rowOff>
    </xdr:from>
    <xdr:to>
      <xdr:col>0</xdr:col>
      <xdr:colOff>161925</xdr:colOff>
      <xdr:row>19</xdr:row>
      <xdr:rowOff>66675</xdr:rowOff>
    </xdr:to>
    <xdr:sp>
      <xdr:nvSpPr>
        <xdr:cNvPr id="3" name="Прямая со стрелкой 3"/>
        <xdr:cNvSpPr>
          <a:spLocks/>
        </xdr:cNvSpPr>
      </xdr:nvSpPr>
      <xdr:spPr>
        <a:xfrm>
          <a:off x="66675" y="2771775"/>
          <a:ext cx="95250" cy="190500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685800</xdr:colOff>
      <xdr:row>2</xdr:row>
      <xdr:rowOff>180975</xdr:rowOff>
    </xdr:from>
    <xdr:to>
      <xdr:col>0</xdr:col>
      <xdr:colOff>838200</xdr:colOff>
      <xdr:row>4</xdr:row>
      <xdr:rowOff>0</xdr:rowOff>
    </xdr:to>
    <xdr:pic>
      <xdr:nvPicPr>
        <xdr:cNvPr id="4" name="Рисунок 4" descr="favico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762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36</xdr:row>
      <xdr:rowOff>152400</xdr:rowOff>
    </xdr:from>
    <xdr:to>
      <xdr:col>3</xdr:col>
      <xdr:colOff>742950</xdr:colOff>
      <xdr:row>38</xdr:row>
      <xdr:rowOff>66675</xdr:rowOff>
    </xdr:to>
    <xdr:sp>
      <xdr:nvSpPr>
        <xdr:cNvPr id="1" name="Прямая со стрелкой 2"/>
        <xdr:cNvSpPr>
          <a:spLocks/>
        </xdr:cNvSpPr>
      </xdr:nvSpPr>
      <xdr:spPr>
        <a:xfrm flipH="1">
          <a:off x="4324350" y="4924425"/>
          <a:ext cx="95250" cy="2000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37</xdr:row>
      <xdr:rowOff>0</xdr:rowOff>
    </xdr:from>
    <xdr:to>
      <xdr:col>0</xdr:col>
      <xdr:colOff>142875</xdr:colOff>
      <xdr:row>38</xdr:row>
      <xdr:rowOff>66675</xdr:rowOff>
    </xdr:to>
    <xdr:sp>
      <xdr:nvSpPr>
        <xdr:cNvPr id="2" name="Прямая со стрелкой 3"/>
        <xdr:cNvSpPr>
          <a:spLocks/>
        </xdr:cNvSpPr>
      </xdr:nvSpPr>
      <xdr:spPr>
        <a:xfrm>
          <a:off x="47625" y="4933950"/>
          <a:ext cx="95250" cy="190500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1295400</xdr:colOff>
      <xdr:row>3</xdr:row>
      <xdr:rowOff>9525</xdr:rowOff>
    </xdr:from>
    <xdr:to>
      <xdr:col>0</xdr:col>
      <xdr:colOff>1447800</xdr:colOff>
      <xdr:row>4</xdr:row>
      <xdr:rowOff>9525</xdr:rowOff>
    </xdr:to>
    <xdr:pic>
      <xdr:nvPicPr>
        <xdr:cNvPr id="3" name="Рисунок 5" descr="faviconСС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600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3</xdr:row>
      <xdr:rowOff>0</xdr:rowOff>
    </xdr:from>
    <xdr:to>
      <xdr:col>0</xdr:col>
      <xdr:colOff>933450</xdr:colOff>
      <xdr:row>4</xdr:row>
      <xdr:rowOff>9525</xdr:rowOff>
    </xdr:to>
    <xdr:pic>
      <xdr:nvPicPr>
        <xdr:cNvPr id="1" name="Рисунок 1" descr="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71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571500</xdr:colOff>
      <xdr:row>11</xdr:row>
      <xdr:rowOff>0</xdr:rowOff>
    </xdr:from>
    <xdr:to>
      <xdr:col>3</xdr:col>
      <xdr:colOff>666750</xdr:colOff>
      <xdr:row>12</xdr:row>
      <xdr:rowOff>76200</xdr:rowOff>
    </xdr:to>
    <xdr:sp>
      <xdr:nvSpPr>
        <xdr:cNvPr id="2" name="Прямая со стрелкой 2"/>
        <xdr:cNvSpPr>
          <a:spLocks/>
        </xdr:cNvSpPr>
      </xdr:nvSpPr>
      <xdr:spPr>
        <a:xfrm flipH="1">
          <a:off x="4324350" y="1905000"/>
          <a:ext cx="95250" cy="2000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11</xdr:row>
      <xdr:rowOff>0</xdr:rowOff>
    </xdr:from>
    <xdr:to>
      <xdr:col>0</xdr:col>
      <xdr:colOff>161925</xdr:colOff>
      <xdr:row>12</xdr:row>
      <xdr:rowOff>66675</xdr:rowOff>
    </xdr:to>
    <xdr:sp>
      <xdr:nvSpPr>
        <xdr:cNvPr id="3" name="Прямая со стрелкой 3"/>
        <xdr:cNvSpPr>
          <a:spLocks/>
        </xdr:cNvSpPr>
      </xdr:nvSpPr>
      <xdr:spPr>
        <a:xfrm>
          <a:off x="66675" y="1905000"/>
          <a:ext cx="95250" cy="190500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arapky.ru/content/tseny-na-tsarapki-i-nezagryazinki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46"/>
  <sheetViews>
    <sheetView tabSelected="1" zoomScalePageLayoutView="0" workbookViewId="0" topLeftCell="A1">
      <selection activeCell="G1" sqref="G1"/>
    </sheetView>
  </sheetViews>
  <sheetFormatPr defaultColWidth="9.140625" defaultRowHeight="9.75" customHeight="1"/>
  <cols>
    <col min="1" max="1" width="21.00390625" style="2" customWidth="1"/>
    <col min="2" max="2" width="8.421875" style="2" customWidth="1"/>
    <col min="3" max="3" width="10.00390625" style="2" customWidth="1"/>
    <col min="4" max="5" width="9.57421875" style="2" customWidth="1"/>
    <col min="6" max="6" width="8.8515625" style="2" customWidth="1"/>
    <col min="7" max="7" width="15.00390625" style="2" customWidth="1"/>
    <col min="8" max="16384" width="9.140625" style="2" customWidth="1"/>
  </cols>
  <sheetData>
    <row r="1" spans="1:7" ht="36" customHeight="1">
      <c r="A1" s="156" t="s">
        <v>184</v>
      </c>
      <c r="B1" s="157"/>
      <c r="C1" s="157"/>
      <c r="D1" s="157"/>
      <c r="E1" s="157"/>
      <c r="F1" s="157"/>
      <c r="G1" s="71">
        <v>68</v>
      </c>
    </row>
    <row r="2" spans="1:7" ht="9.75" customHeight="1">
      <c r="A2" s="151" t="s">
        <v>0</v>
      </c>
      <c r="B2" s="152" t="s">
        <v>71</v>
      </c>
      <c r="C2" s="151" t="s">
        <v>70</v>
      </c>
      <c r="D2" s="152" t="s">
        <v>72</v>
      </c>
      <c r="E2" s="151" t="s">
        <v>73</v>
      </c>
      <c r="F2" s="151" t="s">
        <v>1</v>
      </c>
      <c r="G2" s="52" t="s">
        <v>152</v>
      </c>
    </row>
    <row r="3" spans="1:7" ht="15" customHeight="1">
      <c r="A3" s="151"/>
      <c r="B3" s="153"/>
      <c r="C3" s="151"/>
      <c r="D3" s="153"/>
      <c r="E3" s="151"/>
      <c r="F3" s="151"/>
      <c r="G3" s="74" t="s">
        <v>154</v>
      </c>
    </row>
    <row r="4" spans="1:7" ht="11.25" customHeight="1">
      <c r="A4" s="159" t="s">
        <v>74</v>
      </c>
      <c r="B4" s="160"/>
      <c r="C4" s="161"/>
      <c r="D4" s="13"/>
      <c r="E4" s="11"/>
      <c r="F4" s="11"/>
      <c r="G4" s="102" t="s">
        <v>342</v>
      </c>
    </row>
    <row r="5" spans="1:6" ht="9.75" customHeight="1">
      <c r="A5" s="16" t="s">
        <v>75</v>
      </c>
      <c r="B5" s="6">
        <f>INT(G1*0.48)</f>
        <v>32</v>
      </c>
      <c r="C5" s="28">
        <f>INT(G1*4.25)</f>
        <v>289</v>
      </c>
      <c r="D5" s="3">
        <v>0</v>
      </c>
      <c r="E5" s="3">
        <v>0</v>
      </c>
      <c r="F5" s="3">
        <f>(B5*D5)+(C5*E5)</f>
        <v>0</v>
      </c>
    </row>
    <row r="6" spans="1:6" ht="9.75" customHeight="1">
      <c r="A6" s="16" t="s">
        <v>76</v>
      </c>
      <c r="B6" s="6">
        <f>INT(G1*0.48)</f>
        <v>32</v>
      </c>
      <c r="C6" s="28">
        <f>INT(G1*4.25)</f>
        <v>289</v>
      </c>
      <c r="D6" s="3">
        <v>0</v>
      </c>
      <c r="E6" s="3">
        <v>0</v>
      </c>
      <c r="F6" s="3">
        <f>(B6*D6)+(C6*E6)</f>
        <v>0</v>
      </c>
    </row>
    <row r="7" spans="1:10" ht="9.75" customHeight="1">
      <c r="A7" s="16" t="s">
        <v>77</v>
      </c>
      <c r="B7" s="6">
        <f>INT(G1*0.48)</f>
        <v>32</v>
      </c>
      <c r="C7" s="28">
        <f>INT(G1*4.25)</f>
        <v>289</v>
      </c>
      <c r="D7" s="3">
        <v>0</v>
      </c>
      <c r="E7" s="3">
        <v>0</v>
      </c>
      <c r="F7" s="3">
        <f aca="true" t="shared" si="0" ref="F7:F40">(B7*D7)+(C7*E7)</f>
        <v>0</v>
      </c>
      <c r="J7" s="27"/>
    </row>
    <row r="8" spans="1:6" ht="9.75" customHeight="1">
      <c r="A8" s="16" t="s">
        <v>78</v>
      </c>
      <c r="B8" s="6">
        <f>INT(G1*0.48)</f>
        <v>32</v>
      </c>
      <c r="C8" s="28">
        <f>INT(G1*4.25)</f>
        <v>289</v>
      </c>
      <c r="D8" s="3">
        <v>0</v>
      </c>
      <c r="E8" s="3">
        <v>0</v>
      </c>
      <c r="F8" s="3">
        <f t="shared" si="0"/>
        <v>0</v>
      </c>
    </row>
    <row r="9" spans="1:6" ht="9.75" customHeight="1">
      <c r="A9" s="16" t="s">
        <v>79</v>
      </c>
      <c r="B9" s="6">
        <f>INT(G1*0.48)</f>
        <v>32</v>
      </c>
      <c r="C9" s="28">
        <f>INT(G1*4.25)</f>
        <v>289</v>
      </c>
      <c r="D9" s="3">
        <v>0</v>
      </c>
      <c r="E9" s="3">
        <v>0</v>
      </c>
      <c r="F9" s="3">
        <f t="shared" si="0"/>
        <v>0</v>
      </c>
    </row>
    <row r="10" spans="1:6" ht="9.75" customHeight="1">
      <c r="A10" s="16" t="s">
        <v>80</v>
      </c>
      <c r="B10" s="6">
        <f>INT(G1*0.48)</f>
        <v>32</v>
      </c>
      <c r="C10" s="28">
        <f>INT(G1*4.25)</f>
        <v>289</v>
      </c>
      <c r="D10" s="3">
        <v>0</v>
      </c>
      <c r="E10" s="3">
        <v>0</v>
      </c>
      <c r="F10" s="3">
        <f t="shared" si="0"/>
        <v>0</v>
      </c>
    </row>
    <row r="11" spans="1:6" ht="9.75" customHeight="1">
      <c r="A11" s="16" t="s">
        <v>81</v>
      </c>
      <c r="B11" s="6">
        <f>INT(G1*0.48)</f>
        <v>32</v>
      </c>
      <c r="C11" s="28">
        <f>INT(G1*4.25)</f>
        <v>289</v>
      </c>
      <c r="D11" s="3">
        <v>0</v>
      </c>
      <c r="E11" s="3">
        <v>0</v>
      </c>
      <c r="F11" s="3">
        <f t="shared" si="0"/>
        <v>0</v>
      </c>
    </row>
    <row r="12" spans="1:6" ht="9.75" customHeight="1">
      <c r="A12" s="16" t="s">
        <v>82</v>
      </c>
      <c r="B12" s="6">
        <f>INT(G1*0.48)</f>
        <v>32</v>
      </c>
      <c r="C12" s="28">
        <f>INT(G1*4.25)</f>
        <v>289</v>
      </c>
      <c r="D12" s="3">
        <v>0</v>
      </c>
      <c r="E12" s="3">
        <v>0</v>
      </c>
      <c r="F12" s="3">
        <f t="shared" si="0"/>
        <v>0</v>
      </c>
    </row>
    <row r="13" spans="1:6" ht="9.75" customHeight="1">
      <c r="A13" s="16" t="s">
        <v>83</v>
      </c>
      <c r="B13" s="6">
        <f>INT(G1*0.48)</f>
        <v>32</v>
      </c>
      <c r="C13" s="28">
        <f>INT(G1*4.25)</f>
        <v>289</v>
      </c>
      <c r="D13" s="3">
        <v>0</v>
      </c>
      <c r="E13" s="3">
        <v>0</v>
      </c>
      <c r="F13" s="3">
        <f t="shared" si="0"/>
        <v>0</v>
      </c>
    </row>
    <row r="14" spans="1:6" ht="9.75" customHeight="1">
      <c r="A14" s="16" t="s">
        <v>84</v>
      </c>
      <c r="B14" s="6">
        <f>INT(G1*0.48)</f>
        <v>32</v>
      </c>
      <c r="C14" s="28">
        <f>INT(G1*4.25)</f>
        <v>289</v>
      </c>
      <c r="D14" s="3">
        <v>0</v>
      </c>
      <c r="E14" s="3">
        <v>0</v>
      </c>
      <c r="F14" s="3">
        <f t="shared" si="0"/>
        <v>0</v>
      </c>
    </row>
    <row r="15" spans="1:6" ht="9.75" customHeight="1">
      <c r="A15" s="16" t="s">
        <v>85</v>
      </c>
      <c r="B15" s="6">
        <f>INT(G1*0.48)</f>
        <v>32</v>
      </c>
      <c r="C15" s="28">
        <f>INT(G1*4.25)</f>
        <v>289</v>
      </c>
      <c r="D15" s="3">
        <v>0</v>
      </c>
      <c r="E15" s="3">
        <v>0</v>
      </c>
      <c r="F15" s="3">
        <f t="shared" si="0"/>
        <v>0</v>
      </c>
    </row>
    <row r="16" spans="1:6" ht="9.75" customHeight="1">
      <c r="A16" s="16" t="s">
        <v>86</v>
      </c>
      <c r="B16" s="6">
        <f>INT(G1*0.48)</f>
        <v>32</v>
      </c>
      <c r="C16" s="28">
        <f>INT(G1*4.25)</f>
        <v>289</v>
      </c>
      <c r="D16" s="3">
        <v>0</v>
      </c>
      <c r="E16" s="3">
        <v>0</v>
      </c>
      <c r="F16" s="3">
        <f>(B16*D16)+(C16*E16)</f>
        <v>0</v>
      </c>
    </row>
    <row r="17" spans="1:6" ht="9.75" customHeight="1">
      <c r="A17" s="16" t="s">
        <v>87</v>
      </c>
      <c r="B17" s="6">
        <f>INT(G1*0.48)</f>
        <v>32</v>
      </c>
      <c r="C17" s="28">
        <f>INT(G1*4.25)</f>
        <v>289</v>
      </c>
      <c r="D17" s="3">
        <v>0</v>
      </c>
      <c r="E17" s="3">
        <v>0</v>
      </c>
      <c r="F17" s="3">
        <f t="shared" si="0"/>
        <v>0</v>
      </c>
    </row>
    <row r="18" spans="1:6" ht="9.75" customHeight="1">
      <c r="A18" s="16" t="s">
        <v>88</v>
      </c>
      <c r="B18" s="6">
        <f>INT(G1*0.48)</f>
        <v>32</v>
      </c>
      <c r="C18" s="28">
        <f>INT(G1*4.25)</f>
        <v>289</v>
      </c>
      <c r="D18" s="3">
        <v>0</v>
      </c>
      <c r="E18" s="3">
        <v>0</v>
      </c>
      <c r="F18" s="3">
        <f t="shared" si="0"/>
        <v>0</v>
      </c>
    </row>
    <row r="19" spans="1:6" ht="9.75" customHeight="1">
      <c r="A19" s="16" t="s">
        <v>89</v>
      </c>
      <c r="B19" s="6">
        <f>INT(G1*0.48)</f>
        <v>32</v>
      </c>
      <c r="C19" s="28">
        <f>INT(G1*4.25)</f>
        <v>289</v>
      </c>
      <c r="D19" s="3">
        <v>0</v>
      </c>
      <c r="E19" s="3">
        <v>0</v>
      </c>
      <c r="F19" s="3">
        <f t="shared" si="0"/>
        <v>0</v>
      </c>
    </row>
    <row r="20" spans="1:6" ht="9.75" customHeight="1">
      <c r="A20" s="16" t="s">
        <v>90</v>
      </c>
      <c r="B20" s="6">
        <f>INT(G1*0.48)</f>
        <v>32</v>
      </c>
      <c r="C20" s="28">
        <f>INT(G1*4.25)</f>
        <v>289</v>
      </c>
      <c r="D20" s="3">
        <v>0</v>
      </c>
      <c r="E20" s="3">
        <v>0</v>
      </c>
      <c r="F20" s="3">
        <f t="shared" si="0"/>
        <v>0</v>
      </c>
    </row>
    <row r="21" spans="1:6" ht="9.75" customHeight="1">
      <c r="A21" s="16" t="s">
        <v>91</v>
      </c>
      <c r="B21" s="6">
        <f>INT(G1*0.48)</f>
        <v>32</v>
      </c>
      <c r="C21" s="28">
        <f>INT(G1*4.25)</f>
        <v>289</v>
      </c>
      <c r="D21" s="3">
        <v>0</v>
      </c>
      <c r="E21" s="3">
        <v>0</v>
      </c>
      <c r="F21" s="3">
        <f t="shared" si="0"/>
        <v>0</v>
      </c>
    </row>
    <row r="22" spans="1:6" ht="9.75" customHeight="1">
      <c r="A22" s="16" t="s">
        <v>92</v>
      </c>
      <c r="B22" s="6">
        <f>INT(G1*0.48)</f>
        <v>32</v>
      </c>
      <c r="C22" s="28">
        <f>INT(G1*4.25)</f>
        <v>289</v>
      </c>
      <c r="D22" s="3">
        <v>0</v>
      </c>
      <c r="E22" s="3">
        <v>0</v>
      </c>
      <c r="F22" s="3">
        <f t="shared" si="0"/>
        <v>0</v>
      </c>
    </row>
    <row r="23" spans="1:6" s="1" customFormat="1" ht="12" customHeight="1">
      <c r="A23" s="9" t="s">
        <v>94</v>
      </c>
      <c r="B23" s="10"/>
      <c r="C23" s="10"/>
      <c r="D23" s="10"/>
      <c r="E23" s="10"/>
      <c r="F23" s="20"/>
    </row>
    <row r="24" spans="1:6" ht="9.75" customHeight="1">
      <c r="A24" s="16" t="s">
        <v>93</v>
      </c>
      <c r="B24" s="6">
        <f>INT(G1*3.8)</f>
        <v>258</v>
      </c>
      <c r="C24" s="28">
        <f>INT(G1*33.75)</f>
        <v>2295</v>
      </c>
      <c r="D24" s="3">
        <v>0</v>
      </c>
      <c r="E24" s="3">
        <v>0</v>
      </c>
      <c r="F24" s="3">
        <f t="shared" si="0"/>
        <v>0</v>
      </c>
    </row>
    <row r="25" spans="1:6" ht="9.75" customHeight="1">
      <c r="A25" s="17" t="s">
        <v>95</v>
      </c>
      <c r="B25" s="6">
        <f>INT(G1*3.8)</f>
        <v>258</v>
      </c>
      <c r="C25" s="28">
        <f>INT(G1*33.75)</f>
        <v>2295</v>
      </c>
      <c r="D25" s="3">
        <v>0</v>
      </c>
      <c r="E25" s="3">
        <v>0</v>
      </c>
      <c r="F25" s="3">
        <f t="shared" si="0"/>
        <v>0</v>
      </c>
    </row>
    <row r="26" spans="1:6" ht="9.75" customHeight="1">
      <c r="A26" s="17" t="s">
        <v>96</v>
      </c>
      <c r="B26" s="6">
        <f>INT(G1*3.8)</f>
        <v>258</v>
      </c>
      <c r="C26" s="28">
        <f>INT(G1*33.75)</f>
        <v>2295</v>
      </c>
      <c r="D26" s="3">
        <v>0</v>
      </c>
      <c r="E26" s="3">
        <v>0</v>
      </c>
      <c r="F26" s="3">
        <f t="shared" si="0"/>
        <v>0</v>
      </c>
    </row>
    <row r="27" spans="1:6" ht="9.75" customHeight="1">
      <c r="A27" s="17" t="s">
        <v>97</v>
      </c>
      <c r="B27" s="6">
        <f>INT(G1*3.8)</f>
        <v>258</v>
      </c>
      <c r="C27" s="28">
        <f>INT(G1*33.75)</f>
        <v>2295</v>
      </c>
      <c r="D27" s="3">
        <v>0</v>
      </c>
      <c r="E27" s="3">
        <v>0</v>
      </c>
      <c r="F27" s="3">
        <f t="shared" si="0"/>
        <v>0</v>
      </c>
    </row>
    <row r="28" spans="1:6" ht="9.75" customHeight="1">
      <c r="A28" s="17" t="s">
        <v>98</v>
      </c>
      <c r="B28" s="6">
        <f>INT(G1*3.05)</f>
        <v>207</v>
      </c>
      <c r="C28" s="28">
        <f>INT(G1*27.5)</f>
        <v>1870</v>
      </c>
      <c r="D28" s="3">
        <v>0</v>
      </c>
      <c r="E28" s="3">
        <v>0</v>
      </c>
      <c r="F28" s="3">
        <f t="shared" si="0"/>
        <v>0</v>
      </c>
    </row>
    <row r="29" spans="1:6" ht="9.75" customHeight="1">
      <c r="A29" s="17" t="s">
        <v>99</v>
      </c>
      <c r="B29" s="6">
        <f>INT(G1*3.05)</f>
        <v>207</v>
      </c>
      <c r="C29" s="28">
        <f>INT(G1*27.5)</f>
        <v>1870</v>
      </c>
      <c r="D29" s="3">
        <v>0</v>
      </c>
      <c r="E29" s="3">
        <v>0</v>
      </c>
      <c r="F29" s="3">
        <f t="shared" si="0"/>
        <v>0</v>
      </c>
    </row>
    <row r="30" spans="1:6" ht="9.75" customHeight="1">
      <c r="A30" s="17" t="s">
        <v>100</v>
      </c>
      <c r="B30" s="6">
        <f>INT(G1*3.05)</f>
        <v>207</v>
      </c>
      <c r="C30" s="28">
        <f>INT(G1*27.5)</f>
        <v>1870</v>
      </c>
      <c r="D30" s="3">
        <v>0</v>
      </c>
      <c r="E30" s="3">
        <v>0</v>
      </c>
      <c r="F30" s="3">
        <f t="shared" si="0"/>
        <v>0</v>
      </c>
    </row>
    <row r="31" spans="1:6" ht="9.75" customHeight="1">
      <c r="A31" s="17" t="s">
        <v>101</v>
      </c>
      <c r="B31" s="6">
        <f>INT(G1*3.05)</f>
        <v>207</v>
      </c>
      <c r="C31" s="28">
        <f>INT(G1*27.5)</f>
        <v>1870</v>
      </c>
      <c r="D31" s="3">
        <v>0</v>
      </c>
      <c r="E31" s="3">
        <v>0</v>
      </c>
      <c r="F31" s="3">
        <f t="shared" si="0"/>
        <v>0</v>
      </c>
    </row>
    <row r="32" spans="1:6" s="1" customFormat="1" ht="11.25" customHeight="1">
      <c r="A32" s="12" t="s">
        <v>111</v>
      </c>
      <c r="B32" s="12"/>
      <c r="C32" s="12"/>
      <c r="D32" s="12"/>
      <c r="E32" s="12"/>
      <c r="F32" s="20"/>
    </row>
    <row r="33" spans="1:6" ht="9.75" customHeight="1">
      <c r="A33" s="17" t="s">
        <v>102</v>
      </c>
      <c r="B33" s="28">
        <f>INT(G1*1.95)</f>
        <v>132</v>
      </c>
      <c r="C33" s="28">
        <f>INT(G1*17.5)</f>
        <v>1190</v>
      </c>
      <c r="D33" s="3">
        <v>0</v>
      </c>
      <c r="E33" s="3">
        <v>0</v>
      </c>
      <c r="F33" s="3">
        <f t="shared" si="0"/>
        <v>0</v>
      </c>
    </row>
    <row r="34" spans="1:6" ht="9.75" customHeight="1">
      <c r="A34" s="17" t="s">
        <v>103</v>
      </c>
      <c r="B34" s="28">
        <f>INT(G1*1.95)</f>
        <v>132</v>
      </c>
      <c r="C34" s="28">
        <f>INT(G1*17.5)</f>
        <v>1190</v>
      </c>
      <c r="D34" s="3">
        <v>0</v>
      </c>
      <c r="E34" s="3">
        <v>0</v>
      </c>
      <c r="F34" s="3">
        <f t="shared" si="0"/>
        <v>0</v>
      </c>
    </row>
    <row r="35" spans="1:6" ht="9.75" customHeight="1">
      <c r="A35" s="17" t="s">
        <v>104</v>
      </c>
      <c r="B35" s="28">
        <f>INT(G1*1.95)</f>
        <v>132</v>
      </c>
      <c r="C35" s="28">
        <f>INT(G1*17.5)</f>
        <v>1190</v>
      </c>
      <c r="D35" s="3">
        <v>0</v>
      </c>
      <c r="E35" s="3">
        <v>0</v>
      </c>
      <c r="F35" s="3">
        <f t="shared" si="0"/>
        <v>0</v>
      </c>
    </row>
    <row r="36" spans="1:6" ht="9.75" customHeight="1">
      <c r="A36" s="17" t="s">
        <v>105</v>
      </c>
      <c r="B36" s="28">
        <f>INT(G1*1.95)</f>
        <v>132</v>
      </c>
      <c r="C36" s="28">
        <f>INT(G1*17.5)</f>
        <v>1190</v>
      </c>
      <c r="D36" s="3">
        <v>0</v>
      </c>
      <c r="E36" s="3">
        <v>0</v>
      </c>
      <c r="F36" s="3">
        <f t="shared" si="0"/>
        <v>0</v>
      </c>
    </row>
    <row r="37" spans="1:6" ht="9.75" customHeight="1">
      <c r="A37" s="17" t="s">
        <v>106</v>
      </c>
      <c r="B37" s="28">
        <f>INT(G1*1.95)</f>
        <v>132</v>
      </c>
      <c r="C37" s="28">
        <f>INT(G1*17.5)</f>
        <v>1190</v>
      </c>
      <c r="D37" s="3">
        <v>0</v>
      </c>
      <c r="E37" s="3">
        <v>0</v>
      </c>
      <c r="F37" s="3">
        <f t="shared" si="0"/>
        <v>0</v>
      </c>
    </row>
    <row r="38" spans="1:6" ht="9.75" customHeight="1">
      <c r="A38" s="17" t="s">
        <v>107</v>
      </c>
      <c r="B38" s="28">
        <f>INT(G1*1.95)</f>
        <v>132</v>
      </c>
      <c r="C38" s="28">
        <f>INT(G1*17.5)</f>
        <v>1190</v>
      </c>
      <c r="D38" s="3">
        <v>0</v>
      </c>
      <c r="E38" s="3">
        <v>0</v>
      </c>
      <c r="F38" s="3">
        <f t="shared" si="0"/>
        <v>0</v>
      </c>
    </row>
    <row r="39" spans="1:6" ht="9.75" customHeight="1">
      <c r="A39" s="17" t="s">
        <v>108</v>
      </c>
      <c r="B39" s="28">
        <f>INT(G1*1.95)</f>
        <v>132</v>
      </c>
      <c r="C39" s="28">
        <f>INT(G1*17.5)</f>
        <v>1190</v>
      </c>
      <c r="D39" s="3">
        <v>0</v>
      </c>
      <c r="E39" s="3">
        <v>0</v>
      </c>
      <c r="F39" s="3">
        <f t="shared" si="0"/>
        <v>0</v>
      </c>
    </row>
    <row r="40" spans="1:6" ht="9.75" customHeight="1">
      <c r="A40" s="17" t="s">
        <v>109</v>
      </c>
      <c r="B40" s="28">
        <f>INT(G1*1.95)</f>
        <v>132</v>
      </c>
      <c r="C40" s="28">
        <f>INT(G1*17.5)</f>
        <v>1190</v>
      </c>
      <c r="D40" s="3">
        <v>0</v>
      </c>
      <c r="E40" s="3">
        <v>0</v>
      </c>
      <c r="F40" s="3">
        <f t="shared" si="0"/>
        <v>0</v>
      </c>
    </row>
    <row r="41" spans="1:6" s="1" customFormat="1" ht="11.25" customHeight="1">
      <c r="A41" s="45" t="s">
        <v>125</v>
      </c>
      <c r="B41" s="45"/>
      <c r="C41" s="45"/>
      <c r="D41" s="45"/>
      <c r="E41" s="45"/>
      <c r="F41" s="20"/>
    </row>
    <row r="42" spans="1:6" ht="9.75" customHeight="1">
      <c r="A42" s="17" t="s">
        <v>126</v>
      </c>
      <c r="B42" s="28">
        <f>INT(G1*0.68)</f>
        <v>46</v>
      </c>
      <c r="C42" s="28">
        <f>INT(G1*6.25)</f>
        <v>425</v>
      </c>
      <c r="D42" s="3">
        <v>0</v>
      </c>
      <c r="E42" s="3">
        <v>0</v>
      </c>
      <c r="F42" s="3">
        <f>(B42*D42)+(C42*E42)</f>
        <v>0</v>
      </c>
    </row>
    <row r="43" spans="1:6" ht="9.75" customHeight="1">
      <c r="A43" s="17" t="s">
        <v>127</v>
      </c>
      <c r="B43" s="28">
        <f>INT(G1*0.68)</f>
        <v>46</v>
      </c>
      <c r="C43" s="28">
        <f>INT(G1*6.25)</f>
        <v>425</v>
      </c>
      <c r="D43" s="3">
        <v>0</v>
      </c>
      <c r="E43" s="3">
        <v>0</v>
      </c>
      <c r="F43" s="3">
        <f>(B43*D43)+(C43*E43)</f>
        <v>0</v>
      </c>
    </row>
    <row r="44" spans="1:7" s="5" customFormat="1" ht="12.75" customHeight="1">
      <c r="A44" s="158" t="s">
        <v>110</v>
      </c>
      <c r="B44" s="158"/>
      <c r="C44" s="158"/>
      <c r="D44" s="158"/>
      <c r="E44" s="158"/>
      <c r="F44" s="15">
        <f>SUM(F5:F43)</f>
        <v>0</v>
      </c>
      <c r="G44" s="4"/>
    </row>
    <row r="45" spans="1:6" ht="14.25" customHeight="1">
      <c r="A45" s="144" t="s">
        <v>63</v>
      </c>
      <c r="B45" s="144"/>
      <c r="C45" s="144"/>
      <c r="D45" s="144"/>
      <c r="E45" s="144"/>
      <c r="F45" s="29">
        <f>F44+'Terochki.ru'!E84+'Massagerell.ru'!D9+'Сarapky.ru'!D35+'Btfly.ru'!E144+'Warbrushes.ru'!D16</f>
        <v>0</v>
      </c>
    </row>
    <row r="46" spans="1:6" ht="12.75" customHeight="1">
      <c r="A46" s="155" t="s">
        <v>137</v>
      </c>
      <c r="B46" s="155"/>
      <c r="C46" s="155"/>
      <c r="D46" s="155"/>
      <c r="E46" s="155"/>
      <c r="F46" s="155"/>
    </row>
  </sheetData>
  <sheetProtection/>
  <mergeCells count="11">
    <mergeCell ref="F2:F3"/>
    <mergeCell ref="A46:F46"/>
    <mergeCell ref="A44:E44"/>
    <mergeCell ref="A45:E45"/>
    <mergeCell ref="D2:D3"/>
    <mergeCell ref="A4:C4"/>
    <mergeCell ref="A1:F1"/>
    <mergeCell ref="A2:A3"/>
    <mergeCell ref="B2:B3"/>
    <mergeCell ref="C2:C3"/>
    <mergeCell ref="E2:E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K146"/>
  <sheetViews>
    <sheetView zoomScalePageLayoutView="0" workbookViewId="0" topLeftCell="A1">
      <selection activeCell="F1" sqref="F1"/>
    </sheetView>
  </sheetViews>
  <sheetFormatPr defaultColWidth="9.140625" defaultRowHeight="9.75" customHeight="1"/>
  <cols>
    <col min="1" max="1" width="28.28125" style="51" customWidth="1"/>
    <col min="2" max="2" width="13.140625" style="51" customWidth="1"/>
    <col min="3" max="3" width="10.8515625" style="51" customWidth="1"/>
    <col min="4" max="4" width="9.8515625" style="51" customWidth="1"/>
    <col min="5" max="5" width="13.421875" style="51" customWidth="1"/>
    <col min="6" max="6" width="15.140625" style="51" customWidth="1"/>
    <col min="7" max="16384" width="9.140625" style="51" customWidth="1"/>
  </cols>
  <sheetData>
    <row r="1" spans="1:6" ht="37.5" customHeight="1">
      <c r="A1" s="128" t="s">
        <v>153</v>
      </c>
      <c r="B1" s="129"/>
      <c r="C1" s="129"/>
      <c r="D1" s="129"/>
      <c r="E1" s="129"/>
      <c r="F1" s="71">
        <v>68</v>
      </c>
    </row>
    <row r="2" spans="1:6" ht="9.75" customHeight="1">
      <c r="A2" s="127" t="s">
        <v>0</v>
      </c>
      <c r="B2" s="132" t="s">
        <v>25</v>
      </c>
      <c r="C2" s="127" t="s">
        <v>41</v>
      </c>
      <c r="D2" s="127" t="s">
        <v>24</v>
      </c>
      <c r="E2" s="127" t="s">
        <v>1</v>
      </c>
      <c r="F2" s="52" t="s">
        <v>152</v>
      </c>
    </row>
    <row r="3" spans="1:6" ht="15" customHeight="1">
      <c r="A3" s="127"/>
      <c r="B3" s="133"/>
      <c r="C3" s="127"/>
      <c r="D3" s="127"/>
      <c r="E3" s="127"/>
      <c r="F3" s="74" t="s">
        <v>154</v>
      </c>
    </row>
    <row r="4" spans="1:6" s="54" customFormat="1" ht="11.25" customHeight="1">
      <c r="A4" s="53" t="s">
        <v>68</v>
      </c>
      <c r="B4" s="137" t="s">
        <v>122</v>
      </c>
      <c r="C4" s="137"/>
      <c r="D4" s="137"/>
      <c r="E4" s="138"/>
      <c r="F4" s="102" t="s">
        <v>342</v>
      </c>
    </row>
    <row r="5" spans="1:5" ht="9.75" customHeight="1">
      <c r="A5" s="55" t="s">
        <v>29</v>
      </c>
      <c r="B5" s="72">
        <f>INT(F1*4.5)</f>
        <v>306</v>
      </c>
      <c r="C5" s="69">
        <v>0</v>
      </c>
      <c r="D5" s="121" t="s">
        <v>142</v>
      </c>
      <c r="E5" s="69">
        <f aca="true" t="shared" si="0" ref="E5:E24">(B5*C5)</f>
        <v>0</v>
      </c>
    </row>
    <row r="6" spans="1:5" ht="9.75" customHeight="1">
      <c r="A6" s="107" t="s">
        <v>225</v>
      </c>
      <c r="B6" s="101">
        <f>INT(F1*3.32)</f>
        <v>225</v>
      </c>
      <c r="C6" s="69">
        <v>0</v>
      </c>
      <c r="D6" s="122"/>
      <c r="E6" s="69">
        <f>(B6*C6)</f>
        <v>0</v>
      </c>
    </row>
    <row r="7" spans="1:5" ht="9.75" customHeight="1">
      <c r="A7" s="55" t="s">
        <v>30</v>
      </c>
      <c r="B7" s="72">
        <f>INT(F1*4.5)</f>
        <v>306</v>
      </c>
      <c r="C7" s="69">
        <v>0</v>
      </c>
      <c r="D7" s="122"/>
      <c r="E7" s="69">
        <f t="shared" si="0"/>
        <v>0</v>
      </c>
    </row>
    <row r="8" spans="1:5" ht="9.75" customHeight="1">
      <c r="A8" s="55" t="s">
        <v>39</v>
      </c>
      <c r="B8" s="73">
        <f>INT(F1*5)</f>
        <v>340</v>
      </c>
      <c r="C8" s="69">
        <v>0</v>
      </c>
      <c r="D8" s="122"/>
      <c r="E8" s="69">
        <f t="shared" si="0"/>
        <v>0</v>
      </c>
    </row>
    <row r="9" spans="1:5" ht="9.75" customHeight="1">
      <c r="A9" s="107" t="s">
        <v>341</v>
      </c>
      <c r="B9" s="116">
        <f>INT(F1*5.47)</f>
        <v>371</v>
      </c>
      <c r="C9" s="69">
        <v>0</v>
      </c>
      <c r="D9" s="122"/>
      <c r="E9" s="69">
        <f>(B9*C9)</f>
        <v>0</v>
      </c>
    </row>
    <row r="10" spans="1:5" ht="9.75" customHeight="1">
      <c r="A10" s="107" t="s">
        <v>219</v>
      </c>
      <c r="B10" s="73">
        <f>INT(F1*7)</f>
        <v>476</v>
      </c>
      <c r="C10" s="69">
        <v>0</v>
      </c>
      <c r="D10" s="122"/>
      <c r="E10" s="69">
        <f>(B10*C10)</f>
        <v>0</v>
      </c>
    </row>
    <row r="11" spans="1:5" ht="9.75" customHeight="1">
      <c r="A11" s="55" t="s">
        <v>281</v>
      </c>
      <c r="B11" s="73">
        <f>INT(F1*7.1)</f>
        <v>482</v>
      </c>
      <c r="C11" s="69">
        <v>0</v>
      </c>
      <c r="D11" s="122"/>
      <c r="E11" s="69">
        <f>(B11*C11)</f>
        <v>0</v>
      </c>
    </row>
    <row r="12" spans="1:5" ht="9.75" customHeight="1">
      <c r="A12" s="55" t="s">
        <v>31</v>
      </c>
      <c r="B12" s="73">
        <f>INT(F1*3)</f>
        <v>204</v>
      </c>
      <c r="C12" s="69">
        <v>0</v>
      </c>
      <c r="D12" s="122"/>
      <c r="E12" s="69">
        <f t="shared" si="0"/>
        <v>0</v>
      </c>
    </row>
    <row r="13" spans="1:5" ht="9.75" customHeight="1">
      <c r="A13" s="55" t="s">
        <v>155</v>
      </c>
      <c r="B13" s="73">
        <f>INT(F1*5)</f>
        <v>340</v>
      </c>
      <c r="C13" s="69">
        <v>0</v>
      </c>
      <c r="D13" s="122"/>
      <c r="E13" s="69">
        <f t="shared" si="0"/>
        <v>0</v>
      </c>
    </row>
    <row r="14" spans="1:5" ht="9.75" customHeight="1">
      <c r="A14" s="55" t="s">
        <v>123</v>
      </c>
      <c r="B14" s="73">
        <f>INT(F1*4.3)</f>
        <v>292</v>
      </c>
      <c r="C14" s="69">
        <v>0</v>
      </c>
      <c r="D14" s="122"/>
      <c r="E14" s="69">
        <f t="shared" si="0"/>
        <v>0</v>
      </c>
    </row>
    <row r="15" spans="1:5" ht="9.75" customHeight="1">
      <c r="A15" s="55" t="s">
        <v>156</v>
      </c>
      <c r="B15" s="73">
        <f>INT(F1*3.5)</f>
        <v>238</v>
      </c>
      <c r="C15" s="69">
        <v>0</v>
      </c>
      <c r="D15" s="122"/>
      <c r="E15" s="69">
        <f t="shared" si="0"/>
        <v>0</v>
      </c>
    </row>
    <row r="16" spans="1:5" ht="9.75" customHeight="1">
      <c r="A16" s="55" t="s">
        <v>2</v>
      </c>
      <c r="B16" s="73">
        <f>INT(F1*1.625)</f>
        <v>110</v>
      </c>
      <c r="C16" s="69">
        <v>0</v>
      </c>
      <c r="D16" s="122"/>
      <c r="E16" s="69">
        <f t="shared" si="0"/>
        <v>0</v>
      </c>
    </row>
    <row r="17" spans="1:5" ht="9.75" customHeight="1">
      <c r="A17" s="84" t="s">
        <v>157</v>
      </c>
      <c r="B17" s="73">
        <f>INT(F1*1.75)</f>
        <v>119</v>
      </c>
      <c r="C17" s="69">
        <v>0</v>
      </c>
      <c r="D17" s="122"/>
      <c r="E17" s="69">
        <f t="shared" si="0"/>
        <v>0</v>
      </c>
    </row>
    <row r="18" spans="1:5" ht="9.75" customHeight="1">
      <c r="A18" s="55" t="s">
        <v>4</v>
      </c>
      <c r="B18" s="73">
        <f>INT(F1*1.5)</f>
        <v>102</v>
      </c>
      <c r="C18" s="69">
        <v>0</v>
      </c>
      <c r="D18" s="122"/>
      <c r="E18" s="69">
        <f t="shared" si="0"/>
        <v>0</v>
      </c>
    </row>
    <row r="19" spans="1:5" ht="9.75" customHeight="1">
      <c r="A19" s="55" t="s">
        <v>3</v>
      </c>
      <c r="B19" s="73">
        <f>INT(F1*1.5)</f>
        <v>102</v>
      </c>
      <c r="C19" s="69">
        <v>0</v>
      </c>
      <c r="D19" s="122"/>
      <c r="E19" s="69">
        <f t="shared" si="0"/>
        <v>0</v>
      </c>
    </row>
    <row r="20" spans="1:5" ht="9.75" customHeight="1">
      <c r="A20" s="55" t="s">
        <v>158</v>
      </c>
      <c r="B20" s="73">
        <f>INT(F1*1.5)</f>
        <v>102</v>
      </c>
      <c r="C20" s="69">
        <v>0</v>
      </c>
      <c r="D20" s="122"/>
      <c r="E20" s="69">
        <f t="shared" si="0"/>
        <v>0</v>
      </c>
    </row>
    <row r="21" spans="1:5" ht="9.75" customHeight="1">
      <c r="A21" s="55" t="s">
        <v>159</v>
      </c>
      <c r="B21" s="73">
        <f>INT(F1*2.25)</f>
        <v>153</v>
      </c>
      <c r="C21" s="69">
        <v>0</v>
      </c>
      <c r="D21" s="122"/>
      <c r="E21" s="69">
        <f t="shared" si="0"/>
        <v>0</v>
      </c>
    </row>
    <row r="22" spans="1:5" ht="9.75" customHeight="1">
      <c r="A22" s="55" t="s">
        <v>160</v>
      </c>
      <c r="B22" s="73">
        <f>INT(F1*1.5)</f>
        <v>102</v>
      </c>
      <c r="C22" s="69">
        <v>0</v>
      </c>
      <c r="D22" s="122"/>
      <c r="E22" s="69">
        <f t="shared" si="0"/>
        <v>0</v>
      </c>
    </row>
    <row r="23" spans="1:5" ht="9.75" customHeight="1">
      <c r="A23" s="55" t="s">
        <v>27</v>
      </c>
      <c r="B23" s="73">
        <f>INT(F1*1.375)</f>
        <v>93</v>
      </c>
      <c r="C23" s="69">
        <v>0</v>
      </c>
      <c r="D23" s="122"/>
      <c r="E23" s="69">
        <f t="shared" si="0"/>
        <v>0</v>
      </c>
    </row>
    <row r="24" spans="1:5" ht="9.75" customHeight="1">
      <c r="A24" s="55" t="s">
        <v>28</v>
      </c>
      <c r="B24" s="73">
        <f>INT(F1*1.175)</f>
        <v>79</v>
      </c>
      <c r="C24" s="69">
        <v>0</v>
      </c>
      <c r="D24" s="122"/>
      <c r="E24" s="69">
        <f t="shared" si="0"/>
        <v>0</v>
      </c>
    </row>
    <row r="25" spans="1:5" ht="9.75" customHeight="1">
      <c r="A25" s="55" t="s">
        <v>32</v>
      </c>
      <c r="B25" s="73">
        <f>INT(F1*1.675)</f>
        <v>113</v>
      </c>
      <c r="C25" s="69">
        <v>0</v>
      </c>
      <c r="D25" s="123"/>
      <c r="E25" s="69">
        <f>(B25*C25)</f>
        <v>0</v>
      </c>
    </row>
    <row r="26" spans="1:5" ht="9.75" customHeight="1">
      <c r="A26" s="55" t="s">
        <v>220</v>
      </c>
      <c r="B26" s="90">
        <f>INT(F1*4.9)</f>
        <v>333</v>
      </c>
      <c r="C26" s="69">
        <v>0</v>
      </c>
      <c r="D26" s="76" t="s">
        <v>142</v>
      </c>
      <c r="E26" s="69">
        <f>(B26*C26)</f>
        <v>0</v>
      </c>
    </row>
    <row r="27" spans="1:5" ht="11.25" customHeight="1">
      <c r="A27" s="56" t="s">
        <v>186</v>
      </c>
      <c r="B27" s="70"/>
      <c r="C27" s="70"/>
      <c r="D27" s="86"/>
      <c r="E27" s="70"/>
    </row>
    <row r="28" spans="1:5" ht="9.75" customHeight="1">
      <c r="A28" s="87" t="s">
        <v>193</v>
      </c>
      <c r="B28" s="73">
        <f>INT(F1*3.2)</f>
        <v>217</v>
      </c>
      <c r="C28" s="69">
        <v>0</v>
      </c>
      <c r="D28" s="76" t="s">
        <v>142</v>
      </c>
      <c r="E28" s="69">
        <f aca="true" t="shared" si="1" ref="E28:E33">(B28*C28)</f>
        <v>0</v>
      </c>
    </row>
    <row r="29" spans="1:5" ht="9.75" customHeight="1">
      <c r="A29" s="87" t="s">
        <v>187</v>
      </c>
      <c r="B29" s="73">
        <f>INT(F1*2.3)</f>
        <v>156</v>
      </c>
      <c r="C29" s="69">
        <v>0</v>
      </c>
      <c r="D29" s="76" t="s">
        <v>142</v>
      </c>
      <c r="E29" s="69">
        <f t="shared" si="1"/>
        <v>0</v>
      </c>
    </row>
    <row r="30" spans="1:5" ht="9.75" customHeight="1">
      <c r="A30" s="87" t="s">
        <v>188</v>
      </c>
      <c r="B30" s="73">
        <f>INT(F1*0.6)</f>
        <v>40</v>
      </c>
      <c r="C30" s="69">
        <v>0</v>
      </c>
      <c r="D30" s="76" t="s">
        <v>142</v>
      </c>
      <c r="E30" s="69">
        <f t="shared" si="1"/>
        <v>0</v>
      </c>
    </row>
    <row r="31" spans="1:5" ht="9.75" customHeight="1">
      <c r="A31" s="87" t="s">
        <v>189</v>
      </c>
      <c r="B31" s="73">
        <f>INT(F1*0.64)</f>
        <v>43</v>
      </c>
      <c r="C31" s="69">
        <v>0</v>
      </c>
      <c r="D31" s="76" t="s">
        <v>142</v>
      </c>
      <c r="E31" s="69">
        <f t="shared" si="1"/>
        <v>0</v>
      </c>
    </row>
    <row r="32" spans="1:5" ht="9.75" customHeight="1">
      <c r="A32" s="87" t="s">
        <v>190</v>
      </c>
      <c r="B32" s="73">
        <f>INT(F1*0.76)</f>
        <v>51</v>
      </c>
      <c r="C32" s="69">
        <v>0</v>
      </c>
      <c r="D32" s="76" t="s">
        <v>142</v>
      </c>
      <c r="E32" s="69">
        <f t="shared" si="1"/>
        <v>0</v>
      </c>
    </row>
    <row r="33" spans="1:5" ht="9.75" customHeight="1">
      <c r="A33" s="87" t="s">
        <v>191</v>
      </c>
      <c r="B33" s="73">
        <f>INT(F1*0.2)</f>
        <v>13</v>
      </c>
      <c r="C33" s="69">
        <v>0</v>
      </c>
      <c r="D33" s="76" t="s">
        <v>142</v>
      </c>
      <c r="E33" s="69">
        <f t="shared" si="1"/>
        <v>0</v>
      </c>
    </row>
    <row r="34" spans="1:5" ht="9.75" customHeight="1">
      <c r="A34" s="59" t="s">
        <v>282</v>
      </c>
      <c r="B34" s="70"/>
      <c r="C34" s="70"/>
      <c r="D34" s="110"/>
      <c r="E34" s="70"/>
    </row>
    <row r="35" spans="1:5" s="113" customFormat="1" ht="9.75" customHeight="1">
      <c r="A35" s="114" t="s">
        <v>283</v>
      </c>
      <c r="B35" s="118">
        <f>INT(F1*6.35)</f>
        <v>431</v>
      </c>
      <c r="C35" s="112">
        <v>0</v>
      </c>
      <c r="D35" s="95">
        <v>0</v>
      </c>
      <c r="E35" s="69">
        <f>(B35*C35)+((B35+90)*D35)</f>
        <v>0</v>
      </c>
    </row>
    <row r="36" spans="1:5" s="113" customFormat="1" ht="9.75" customHeight="1">
      <c r="A36" s="114" t="s">
        <v>284</v>
      </c>
      <c r="B36" s="118">
        <f>INT(F1*6.35)</f>
        <v>431</v>
      </c>
      <c r="C36" s="112">
        <v>0</v>
      </c>
      <c r="D36" s="95">
        <v>0</v>
      </c>
      <c r="E36" s="69">
        <f aca="true" t="shared" si="2" ref="E36:E41">(B36*C36)+((B36+90)*D36)</f>
        <v>0</v>
      </c>
    </row>
    <row r="37" spans="1:5" s="113" customFormat="1" ht="9.75" customHeight="1">
      <c r="A37" s="114" t="s">
        <v>285</v>
      </c>
      <c r="B37" s="118">
        <f>INT(F1*6.35)</f>
        <v>431</v>
      </c>
      <c r="C37" s="112">
        <v>0</v>
      </c>
      <c r="D37" s="95">
        <v>0</v>
      </c>
      <c r="E37" s="69">
        <f t="shared" si="2"/>
        <v>0</v>
      </c>
    </row>
    <row r="38" spans="1:5" s="113" customFormat="1" ht="9.75" customHeight="1">
      <c r="A38" s="114" t="s">
        <v>286</v>
      </c>
      <c r="B38" s="118">
        <f>INT(F1*7.31)</f>
        <v>497</v>
      </c>
      <c r="C38" s="112">
        <v>0</v>
      </c>
      <c r="D38" s="95">
        <v>0</v>
      </c>
      <c r="E38" s="69">
        <f t="shared" si="2"/>
        <v>0</v>
      </c>
    </row>
    <row r="39" spans="1:5" s="113" customFormat="1" ht="9.75" customHeight="1">
      <c r="A39" s="114" t="s">
        <v>287</v>
      </c>
      <c r="B39" s="118">
        <f>INT(F1*7.47)</f>
        <v>507</v>
      </c>
      <c r="C39" s="112">
        <v>0</v>
      </c>
      <c r="D39" s="95">
        <v>0</v>
      </c>
      <c r="E39" s="69">
        <f t="shared" si="2"/>
        <v>0</v>
      </c>
    </row>
    <row r="40" spans="1:5" s="113" customFormat="1" ht="9.75" customHeight="1">
      <c r="A40" s="114" t="s">
        <v>288</v>
      </c>
      <c r="B40" s="118">
        <f>INT(F1*7.47)</f>
        <v>507</v>
      </c>
      <c r="C40" s="112">
        <v>0</v>
      </c>
      <c r="D40" s="95">
        <v>0</v>
      </c>
      <c r="E40" s="69">
        <f t="shared" si="2"/>
        <v>0</v>
      </c>
    </row>
    <row r="41" spans="1:5" s="113" customFormat="1" ht="9.75" customHeight="1">
      <c r="A41" s="114" t="s">
        <v>289</v>
      </c>
      <c r="B41" s="118">
        <f>INT(F1*7.31)</f>
        <v>497</v>
      </c>
      <c r="C41" s="112">
        <v>0</v>
      </c>
      <c r="D41" s="95">
        <v>0</v>
      </c>
      <c r="E41" s="69">
        <f t="shared" si="2"/>
        <v>0</v>
      </c>
    </row>
    <row r="42" spans="1:5" ht="11.25" customHeight="1">
      <c r="A42" s="56" t="s">
        <v>150</v>
      </c>
      <c r="B42" s="57"/>
      <c r="C42" s="70"/>
      <c r="D42" s="58"/>
      <c r="E42" s="70"/>
    </row>
    <row r="43" spans="1:5" ht="11.25" customHeight="1">
      <c r="A43" s="55" t="s">
        <v>161</v>
      </c>
      <c r="B43" s="75">
        <f>INT(F1*10.9)</f>
        <v>741</v>
      </c>
      <c r="C43" s="94" t="s">
        <v>224</v>
      </c>
      <c r="D43" s="100">
        <v>0</v>
      </c>
      <c r="E43" s="94">
        <f>(B43*C43)+((B43+120)*D43)</f>
        <v>0</v>
      </c>
    </row>
    <row r="44" spans="1:5" ht="11.25" customHeight="1">
      <c r="A44" s="55" t="s">
        <v>162</v>
      </c>
      <c r="B44" s="75">
        <f>INT(F1*10.9)</f>
        <v>741</v>
      </c>
      <c r="C44" s="94">
        <v>0</v>
      </c>
      <c r="D44" s="100">
        <v>0</v>
      </c>
      <c r="E44" s="94">
        <f>((B44*C44)+((B44+170)*D44))</f>
        <v>0</v>
      </c>
    </row>
    <row r="45" spans="1:5" ht="11.25" customHeight="1">
      <c r="A45" s="55" t="s">
        <v>163</v>
      </c>
      <c r="B45" s="75">
        <f>INT(F1*10.2)</f>
        <v>693</v>
      </c>
      <c r="C45" s="94">
        <v>0</v>
      </c>
      <c r="D45" s="100">
        <v>0</v>
      </c>
      <c r="E45" s="94">
        <f>(B45*C45)+((B45+120)*D45)</f>
        <v>0</v>
      </c>
    </row>
    <row r="46" spans="1:5" ht="11.25" customHeight="1">
      <c r="A46" s="55" t="s">
        <v>164</v>
      </c>
      <c r="B46" s="75">
        <f>INT(F1*10.28)</f>
        <v>699</v>
      </c>
      <c r="C46" s="94">
        <v>0</v>
      </c>
      <c r="D46" s="100">
        <v>0</v>
      </c>
      <c r="E46" s="94">
        <f>(B46*C46)+((B46+120)*D46)</f>
        <v>0</v>
      </c>
    </row>
    <row r="47" spans="1:5" ht="11.25" customHeight="1">
      <c r="A47" s="55" t="s">
        <v>165</v>
      </c>
      <c r="B47" s="75">
        <f>INT(F1*9.95)</f>
        <v>676</v>
      </c>
      <c r="C47" s="94">
        <v>0</v>
      </c>
      <c r="D47" s="100">
        <v>0</v>
      </c>
      <c r="E47" s="94">
        <f>(B47*C47)+((B47+60)*D47)</f>
        <v>0</v>
      </c>
    </row>
    <row r="48" spans="1:5" ht="11.25" customHeight="1">
      <c r="A48" s="55" t="s">
        <v>166</v>
      </c>
      <c r="B48" s="75">
        <f>INT(F1*10.2)</f>
        <v>693</v>
      </c>
      <c r="C48" s="94">
        <v>0</v>
      </c>
      <c r="D48" s="100">
        <v>0</v>
      </c>
      <c r="E48" s="94">
        <f>(B48*C48)+((B48+30)*D48)</f>
        <v>0</v>
      </c>
    </row>
    <row r="49" spans="1:5" ht="11.25" customHeight="1">
      <c r="A49" s="55" t="s">
        <v>167</v>
      </c>
      <c r="B49" s="75">
        <f>INT(F1*23.125)</f>
        <v>1572</v>
      </c>
      <c r="C49" s="94">
        <v>0</v>
      </c>
      <c r="D49" s="100">
        <v>0</v>
      </c>
      <c r="E49" s="94">
        <f>(B49*C49)+((B49+150)*D49)</f>
        <v>0</v>
      </c>
    </row>
    <row r="50" spans="1:5" ht="11.25" customHeight="1">
      <c r="A50" s="55" t="s">
        <v>168</v>
      </c>
      <c r="B50" s="75">
        <f>INT(F1*23.125)</f>
        <v>1572</v>
      </c>
      <c r="C50" s="94">
        <v>0</v>
      </c>
      <c r="D50" s="100">
        <v>0</v>
      </c>
      <c r="E50" s="94">
        <f>(B50*C50)+((B50+200)*D50)</f>
        <v>0</v>
      </c>
    </row>
    <row r="51" spans="1:5" ht="11.25" customHeight="1">
      <c r="A51" s="55" t="s">
        <v>169</v>
      </c>
      <c r="B51" s="75">
        <f>INT(F1*22.15)</f>
        <v>1506</v>
      </c>
      <c r="C51" s="94">
        <v>0</v>
      </c>
      <c r="D51" s="100">
        <v>0</v>
      </c>
      <c r="E51" s="94">
        <f>(B51*C51)+((B51+180)*D51)</f>
        <v>0</v>
      </c>
    </row>
    <row r="52" spans="1:5" ht="11.25" customHeight="1">
      <c r="A52" s="55" t="s">
        <v>170</v>
      </c>
      <c r="B52" s="75">
        <f>INT(F1*20.25)</f>
        <v>1377</v>
      </c>
      <c r="C52" s="94">
        <v>0</v>
      </c>
      <c r="D52" s="100">
        <v>0</v>
      </c>
      <c r="E52" s="94">
        <f>(B52*C52)+((B52+290)*D52)</f>
        <v>0</v>
      </c>
    </row>
    <row r="53" spans="1:5" ht="11.25" customHeight="1">
      <c r="A53" s="55" t="s">
        <v>171</v>
      </c>
      <c r="B53" s="75">
        <f>INT(F1*21.77)</f>
        <v>1480</v>
      </c>
      <c r="C53" s="94">
        <v>0</v>
      </c>
      <c r="D53" s="100">
        <v>0</v>
      </c>
      <c r="E53" s="94">
        <f>(B53*C53)+((B53+150)*D53)</f>
        <v>0</v>
      </c>
    </row>
    <row r="54" spans="1:5" ht="11.25" customHeight="1">
      <c r="A54" s="55" t="s">
        <v>172</v>
      </c>
      <c r="B54" s="75">
        <f>INT(F1*22.32)</f>
        <v>1517</v>
      </c>
      <c r="C54" s="94">
        <v>0</v>
      </c>
      <c r="D54" s="100">
        <v>0</v>
      </c>
      <c r="E54" s="94">
        <f>(B54*C54)+((B54+200)*D54)</f>
        <v>0</v>
      </c>
    </row>
    <row r="55" spans="1:5" ht="9.75" customHeight="1">
      <c r="A55" s="59" t="s">
        <v>148</v>
      </c>
      <c r="B55" s="60"/>
      <c r="C55" s="98"/>
      <c r="D55" s="98"/>
      <c r="E55" s="99"/>
    </row>
    <row r="56" spans="1:5" ht="9.75" customHeight="1">
      <c r="A56" s="55" t="s">
        <v>173</v>
      </c>
      <c r="B56" s="75">
        <f>INT(F1*7.4)</f>
        <v>503</v>
      </c>
      <c r="C56" s="95">
        <v>0</v>
      </c>
      <c r="D56" s="100">
        <v>0</v>
      </c>
      <c r="E56" s="94">
        <f>(B56*C56)+((B56)*D56)</f>
        <v>0</v>
      </c>
    </row>
    <row r="57" spans="1:5" ht="9.75" customHeight="1">
      <c r="A57" s="55" t="s">
        <v>174</v>
      </c>
      <c r="B57" s="75">
        <f>INT(F1*9.7)</f>
        <v>659</v>
      </c>
      <c r="C57" s="95">
        <v>0</v>
      </c>
      <c r="D57" s="100">
        <v>0</v>
      </c>
      <c r="E57" s="94">
        <f>(B57*C57)+((B57+60)*D57)</f>
        <v>0</v>
      </c>
    </row>
    <row r="58" spans="1:5" ht="9.75" customHeight="1">
      <c r="A58" s="55" t="s">
        <v>175</v>
      </c>
      <c r="B58" s="75">
        <f>INT(F1*9.7)</f>
        <v>659</v>
      </c>
      <c r="C58" s="95">
        <v>0</v>
      </c>
      <c r="D58" s="100">
        <v>0</v>
      </c>
      <c r="E58" s="94">
        <f>(B58*C58)+((B58+30)*D58)</f>
        <v>0</v>
      </c>
    </row>
    <row r="59" spans="1:5" ht="9.75" customHeight="1">
      <c r="A59" s="55" t="s">
        <v>176</v>
      </c>
      <c r="B59" s="75">
        <f>INT(F1*11.9)</f>
        <v>809</v>
      </c>
      <c r="C59" s="95">
        <v>0</v>
      </c>
      <c r="D59" s="100">
        <v>0</v>
      </c>
      <c r="E59" s="94">
        <f>(B59*C59)+((B59+60)*D59)</f>
        <v>0</v>
      </c>
    </row>
    <row r="60" spans="1:5" ht="9.75" customHeight="1">
      <c r="A60" s="55" t="s">
        <v>177</v>
      </c>
      <c r="B60" s="75">
        <f>INT(F1*14.05)</f>
        <v>955</v>
      </c>
      <c r="C60" s="95">
        <v>0</v>
      </c>
      <c r="D60" s="100">
        <v>0</v>
      </c>
      <c r="E60" s="94">
        <f>(B60*C60)+((B60+90)*D60)</f>
        <v>0</v>
      </c>
    </row>
    <row r="61" spans="1:5" ht="9.75" customHeight="1">
      <c r="A61" s="55" t="s">
        <v>178</v>
      </c>
      <c r="B61" s="75">
        <f>INT(F1*18.9)</f>
        <v>1285</v>
      </c>
      <c r="C61" s="95">
        <v>0</v>
      </c>
      <c r="D61" s="100">
        <v>0</v>
      </c>
      <c r="E61" s="94">
        <f>(B61*C61)+((B61+60)*D61)</f>
        <v>0</v>
      </c>
    </row>
    <row r="62" spans="1:5" ht="9.75" customHeight="1">
      <c r="A62" s="55" t="s">
        <v>179</v>
      </c>
      <c r="B62" s="75">
        <f>INT(F1*20.525)</f>
        <v>1395</v>
      </c>
      <c r="C62" s="95">
        <v>0</v>
      </c>
      <c r="D62" s="100">
        <v>0</v>
      </c>
      <c r="E62" s="94">
        <f>(B62*C62)+((B62+60)*D62)</f>
        <v>0</v>
      </c>
    </row>
    <row r="63" spans="1:5" ht="9.75" customHeight="1">
      <c r="A63" s="55" t="s">
        <v>180</v>
      </c>
      <c r="B63" s="75">
        <f>INT(F1*24.8)</f>
        <v>1686</v>
      </c>
      <c r="C63" s="95">
        <v>0</v>
      </c>
      <c r="D63" s="100">
        <v>0</v>
      </c>
      <c r="E63" s="94">
        <f>(B63*C63)+((B63+90)*D63)</f>
        <v>0</v>
      </c>
    </row>
    <row r="64" spans="1:9" ht="11.25" customHeight="1">
      <c r="A64" s="134" t="s">
        <v>218</v>
      </c>
      <c r="B64" s="135"/>
      <c r="C64" s="135"/>
      <c r="D64" s="135"/>
      <c r="E64" s="136"/>
      <c r="I64" s="97"/>
    </row>
    <row r="65" spans="1:11" ht="10.5" customHeight="1">
      <c r="A65" s="55" t="s">
        <v>276</v>
      </c>
      <c r="B65" s="108">
        <f>INT(F1*5.56)</f>
        <v>378</v>
      </c>
      <c r="C65" s="69">
        <v>0</v>
      </c>
      <c r="D65" s="76" t="s">
        <v>142</v>
      </c>
      <c r="E65" s="69">
        <f>(B65*C65)</f>
        <v>0</v>
      </c>
      <c r="K65" s="51" t="s">
        <v>275</v>
      </c>
    </row>
    <row r="66" spans="1:5" ht="10.5" customHeight="1">
      <c r="A66" s="55" t="s">
        <v>277</v>
      </c>
      <c r="B66" s="108">
        <f>INT(F1*5.56)</f>
        <v>378</v>
      </c>
      <c r="C66" s="69">
        <v>0</v>
      </c>
      <c r="D66" s="76" t="s">
        <v>142</v>
      </c>
      <c r="E66" s="69">
        <f>(B66*C66)</f>
        <v>0</v>
      </c>
    </row>
    <row r="67" spans="1:5" ht="10.5" customHeight="1">
      <c r="A67" s="55" t="s">
        <v>278</v>
      </c>
      <c r="B67" s="108">
        <f>INT(F1*3.98)</f>
        <v>270</v>
      </c>
      <c r="C67" s="69">
        <v>0</v>
      </c>
      <c r="D67" s="76" t="s">
        <v>142</v>
      </c>
      <c r="E67" s="69">
        <f>(B67*C67)</f>
        <v>0</v>
      </c>
    </row>
    <row r="68" spans="1:5" ht="10.5" customHeight="1">
      <c r="A68" s="84" t="s">
        <v>279</v>
      </c>
      <c r="B68" s="108">
        <f>INT(F1*1.28)</f>
        <v>87</v>
      </c>
      <c r="C68" s="69">
        <v>0</v>
      </c>
      <c r="D68" s="76" t="s">
        <v>142</v>
      </c>
      <c r="E68" s="69">
        <f>(B68*C68)</f>
        <v>0</v>
      </c>
    </row>
    <row r="69" spans="1:5" ht="10.5" customHeight="1">
      <c r="A69" s="84" t="s">
        <v>280</v>
      </c>
      <c r="B69" s="108">
        <f>INT(F1*1.28)</f>
        <v>87</v>
      </c>
      <c r="C69" s="69">
        <v>0</v>
      </c>
      <c r="D69" s="76" t="s">
        <v>142</v>
      </c>
      <c r="E69" s="69">
        <f>(B69*C69)</f>
        <v>0</v>
      </c>
    </row>
    <row r="70" spans="1:5" ht="10.5" customHeight="1">
      <c r="A70" s="56" t="s">
        <v>209</v>
      </c>
      <c r="B70" s="92"/>
      <c r="C70" s="92"/>
      <c r="D70" s="93"/>
      <c r="E70" s="92"/>
    </row>
    <row r="71" spans="1:5" ht="10.5" customHeight="1">
      <c r="A71" s="84" t="s">
        <v>211</v>
      </c>
      <c r="B71" s="75">
        <f>INT(F1*1.5)</f>
        <v>102</v>
      </c>
      <c r="C71" s="69">
        <v>0</v>
      </c>
      <c r="D71" s="94">
        <v>0</v>
      </c>
      <c r="E71" s="69">
        <f>(B71*C71)+((B71+30)*D71)</f>
        <v>0</v>
      </c>
    </row>
    <row r="72" spans="1:5" ht="10.5" customHeight="1">
      <c r="A72" s="84" t="s">
        <v>212</v>
      </c>
      <c r="B72" s="75">
        <f>INT(F1*1.5)</f>
        <v>102</v>
      </c>
      <c r="C72" s="69">
        <v>0</v>
      </c>
      <c r="D72" s="95">
        <v>0</v>
      </c>
      <c r="E72" s="69">
        <f>(B72*C72)+((B72+60)*D72)</f>
        <v>0</v>
      </c>
    </row>
    <row r="73" spans="1:5" ht="10.5" customHeight="1">
      <c r="A73" s="84" t="s">
        <v>213</v>
      </c>
      <c r="B73" s="75">
        <f>INT(F1*4)</f>
        <v>272</v>
      </c>
      <c r="C73" s="69">
        <v>0</v>
      </c>
      <c r="D73" s="95">
        <v>0</v>
      </c>
      <c r="E73" s="69">
        <f>(B73*C73)+((B73+60)*D73)</f>
        <v>0</v>
      </c>
    </row>
    <row r="74" spans="1:5" ht="10.5" customHeight="1">
      <c r="A74" s="84" t="s">
        <v>214</v>
      </c>
      <c r="B74" s="75">
        <f>INT(F1*6)</f>
        <v>408</v>
      </c>
      <c r="C74" s="69">
        <v>0</v>
      </c>
      <c r="D74" s="95">
        <v>0</v>
      </c>
      <c r="E74" s="69">
        <f>(B74*C74)+((B74+80)*D74)</f>
        <v>0</v>
      </c>
    </row>
    <row r="75" spans="1:5" ht="10.5" customHeight="1">
      <c r="A75" s="84" t="s">
        <v>215</v>
      </c>
      <c r="B75" s="75">
        <f>INT(F1*1)</f>
        <v>68</v>
      </c>
      <c r="C75" s="69">
        <v>0</v>
      </c>
      <c r="D75" s="95">
        <v>0</v>
      </c>
      <c r="E75" s="69">
        <f>(B75*C75)+((B75+30)*D75)</f>
        <v>0</v>
      </c>
    </row>
    <row r="76" spans="1:5" ht="10.5" customHeight="1">
      <c r="A76" s="56" t="s">
        <v>210</v>
      </c>
      <c r="B76" s="75"/>
      <c r="C76" s="92"/>
      <c r="D76" s="96"/>
      <c r="E76" s="92"/>
    </row>
    <row r="77" spans="1:5" ht="10.5" customHeight="1">
      <c r="A77" s="84" t="s">
        <v>216</v>
      </c>
      <c r="B77" s="75">
        <f>INT(F1*7.12)</f>
        <v>484</v>
      </c>
      <c r="C77" s="69">
        <v>0</v>
      </c>
      <c r="D77" s="95">
        <v>0</v>
      </c>
      <c r="E77" s="69">
        <f>(B77*C77)+((B77+60)*D77)</f>
        <v>0</v>
      </c>
    </row>
    <row r="78" spans="1:5" ht="10.5" customHeight="1">
      <c r="A78" s="84" t="s">
        <v>217</v>
      </c>
      <c r="B78" s="75">
        <f>INT(F1*7.12)</f>
        <v>484</v>
      </c>
      <c r="C78" s="69">
        <v>0</v>
      </c>
      <c r="D78" s="95">
        <v>0</v>
      </c>
      <c r="E78" s="69">
        <f>(B78*C78)+((B78+60)*D78)</f>
        <v>0</v>
      </c>
    </row>
    <row r="79" spans="1:5" ht="10.5" customHeight="1">
      <c r="A79" s="59" t="s">
        <v>300</v>
      </c>
      <c r="B79" s="70"/>
      <c r="C79" s="70"/>
      <c r="D79" s="115"/>
      <c r="E79" s="70"/>
    </row>
    <row r="80" spans="1:5" ht="10.5" customHeight="1">
      <c r="A80" s="114" t="s">
        <v>301</v>
      </c>
      <c r="B80" s="118">
        <f>INT(F1*1.55)</f>
        <v>105</v>
      </c>
      <c r="C80" s="112">
        <v>0</v>
      </c>
      <c r="D80" s="95">
        <v>0</v>
      </c>
      <c r="E80" s="69">
        <f>(B80*C80)+((B80+30)*D80)</f>
        <v>0</v>
      </c>
    </row>
    <row r="81" spans="1:5" ht="10.5" customHeight="1">
      <c r="A81" s="114" t="s">
        <v>302</v>
      </c>
      <c r="B81" s="118">
        <f>INT(F1*1.5)</f>
        <v>102</v>
      </c>
      <c r="C81" s="112">
        <v>0</v>
      </c>
      <c r="D81" s="95">
        <v>0</v>
      </c>
      <c r="E81" s="69">
        <f>(B81*C81)+((B81+60)*D81)</f>
        <v>0</v>
      </c>
    </row>
    <row r="82" spans="1:5" ht="10.5" customHeight="1">
      <c r="A82" s="114" t="s">
        <v>305</v>
      </c>
      <c r="B82" s="118">
        <f>INT(F1*1.55)</f>
        <v>105</v>
      </c>
      <c r="C82" s="112">
        <v>0</v>
      </c>
      <c r="D82" s="95">
        <v>0</v>
      </c>
      <c r="E82" s="69">
        <f>(B82*C82)+((B82+30)*D82)</f>
        <v>0</v>
      </c>
    </row>
    <row r="83" spans="1:5" ht="10.5" customHeight="1">
      <c r="A83" s="114" t="s">
        <v>303</v>
      </c>
      <c r="B83" s="118">
        <f>INT(F1*1.75)</f>
        <v>119</v>
      </c>
      <c r="C83" s="112">
        <v>0</v>
      </c>
      <c r="D83" s="95">
        <v>0</v>
      </c>
      <c r="E83" s="69">
        <f>(B83*C83)+((B83+30)*D83)</f>
        <v>0</v>
      </c>
    </row>
    <row r="84" spans="1:5" ht="10.5" customHeight="1">
      <c r="A84" s="114" t="s">
        <v>304</v>
      </c>
      <c r="B84" s="118">
        <f>INT(F1*2.18)</f>
        <v>148</v>
      </c>
      <c r="C84" s="112">
        <v>0</v>
      </c>
      <c r="D84" s="95">
        <v>0</v>
      </c>
      <c r="E84" s="69">
        <f>(B84*C84)+((B84+30)*D84)</f>
        <v>0</v>
      </c>
    </row>
    <row r="85" spans="1:5" ht="10.5" customHeight="1">
      <c r="A85" s="59" t="s">
        <v>312</v>
      </c>
      <c r="B85" s="117"/>
      <c r="C85" s="111"/>
      <c r="D85" s="115"/>
      <c r="E85" s="111"/>
    </row>
    <row r="86" spans="1:5" ht="10.5" customHeight="1">
      <c r="A86" s="114" t="s">
        <v>311</v>
      </c>
      <c r="B86" s="118">
        <f>INT(F1*3.5)</f>
        <v>238</v>
      </c>
      <c r="C86" s="112">
        <v>0</v>
      </c>
      <c r="D86" s="95">
        <v>0</v>
      </c>
      <c r="E86" s="69">
        <f>(B86*C86)+((B86+60)*D86)</f>
        <v>0</v>
      </c>
    </row>
    <row r="87" spans="1:5" ht="10.5" customHeight="1">
      <c r="A87" s="114" t="s">
        <v>313</v>
      </c>
      <c r="B87" s="118">
        <f>INT(F1*3.66)</f>
        <v>248</v>
      </c>
      <c r="C87" s="112">
        <v>0</v>
      </c>
      <c r="D87" s="95">
        <v>0</v>
      </c>
      <c r="E87" s="69">
        <f>(B87*C87)+((B87+60)*D87)</f>
        <v>0</v>
      </c>
    </row>
    <row r="88" spans="1:5" ht="10.5" customHeight="1">
      <c r="A88" s="114" t="s">
        <v>314</v>
      </c>
      <c r="B88" s="118">
        <f>INT(F1*3.66)</f>
        <v>248</v>
      </c>
      <c r="C88" s="112">
        <v>0</v>
      </c>
      <c r="D88" s="95">
        <v>0</v>
      </c>
      <c r="E88" s="69">
        <f>(B88*C88)+((B88+60)*D88)</f>
        <v>0</v>
      </c>
    </row>
    <row r="89" spans="1:5" ht="10.5" customHeight="1">
      <c r="A89" s="114" t="s">
        <v>315</v>
      </c>
      <c r="B89" s="118">
        <f>INT(F1*3.81)</f>
        <v>259</v>
      </c>
      <c r="C89" s="112">
        <v>0</v>
      </c>
      <c r="D89" s="95">
        <v>0</v>
      </c>
      <c r="E89" s="69">
        <f>(B89*C89)+((B89+60)*D89)</f>
        <v>0</v>
      </c>
    </row>
    <row r="90" spans="1:5" ht="10.5" customHeight="1">
      <c r="A90" s="114" t="s">
        <v>316</v>
      </c>
      <c r="B90" s="118">
        <f>INT(F1*4.13)</f>
        <v>280</v>
      </c>
      <c r="C90" s="112">
        <v>0</v>
      </c>
      <c r="D90" s="95">
        <v>0</v>
      </c>
      <c r="E90" s="69">
        <f>(B90*C90)+((B90+90)*D90)</f>
        <v>0</v>
      </c>
    </row>
    <row r="91" spans="1:5" ht="10.5" customHeight="1">
      <c r="A91" s="114" t="s">
        <v>318</v>
      </c>
      <c r="B91" s="118">
        <f>INT(F1*4.13)</f>
        <v>280</v>
      </c>
      <c r="C91" s="112">
        <v>0</v>
      </c>
      <c r="D91" s="95">
        <v>0</v>
      </c>
      <c r="E91" s="69">
        <f>(B91*C91)+((B91+90)*D91)</f>
        <v>0</v>
      </c>
    </row>
    <row r="92" spans="1:5" ht="10.5" customHeight="1">
      <c r="A92" s="114" t="s">
        <v>317</v>
      </c>
      <c r="B92" s="118">
        <f>INT(F1*3.66)</f>
        <v>248</v>
      </c>
      <c r="C92" s="112">
        <v>0</v>
      </c>
      <c r="D92" s="95">
        <v>0</v>
      </c>
      <c r="E92" s="69">
        <f>(B92*C92)+((B92+90)*D92)</f>
        <v>0</v>
      </c>
    </row>
    <row r="93" spans="1:5" ht="10.5" customHeight="1">
      <c r="A93" s="59" t="s">
        <v>319</v>
      </c>
      <c r="B93" s="117"/>
      <c r="C93" s="111"/>
      <c r="D93" s="115"/>
      <c r="E93" s="111"/>
    </row>
    <row r="94" spans="1:5" ht="10.5" customHeight="1">
      <c r="A94" s="114" t="s">
        <v>320</v>
      </c>
      <c r="B94" s="118">
        <f>INT(F1*0.99)</f>
        <v>67</v>
      </c>
      <c r="C94" s="112">
        <v>0</v>
      </c>
      <c r="D94" s="95">
        <v>0</v>
      </c>
      <c r="E94" s="69">
        <f aca="true" t="shared" si="3" ref="E94:E100">(B94*C94)+((B94+30)*D94)</f>
        <v>0</v>
      </c>
    </row>
    <row r="95" spans="1:5" ht="10.5" customHeight="1">
      <c r="A95" s="114" t="s">
        <v>321</v>
      </c>
      <c r="B95" s="118">
        <f>INT(F1*1.04)</f>
        <v>70</v>
      </c>
      <c r="C95" s="112">
        <v>0</v>
      </c>
      <c r="D95" s="95">
        <v>0</v>
      </c>
      <c r="E95" s="69">
        <f t="shared" si="3"/>
        <v>0</v>
      </c>
    </row>
    <row r="96" spans="1:5" ht="10.5" customHeight="1">
      <c r="A96" s="114" t="s">
        <v>322</v>
      </c>
      <c r="B96" s="118">
        <f>INT(F1*0.99)</f>
        <v>67</v>
      </c>
      <c r="C96" s="112">
        <v>0</v>
      </c>
      <c r="D96" s="95">
        <v>0</v>
      </c>
      <c r="E96" s="69">
        <f t="shared" si="3"/>
        <v>0</v>
      </c>
    </row>
    <row r="97" spans="1:5" ht="10.5" customHeight="1">
      <c r="A97" s="114" t="s">
        <v>323</v>
      </c>
      <c r="B97" s="118">
        <f>INT(F1*1.19)</f>
        <v>80</v>
      </c>
      <c r="C97" s="112">
        <v>0</v>
      </c>
      <c r="D97" s="95">
        <v>0</v>
      </c>
      <c r="E97" s="69">
        <f t="shared" si="3"/>
        <v>0</v>
      </c>
    </row>
    <row r="98" spans="1:5" ht="10.5" customHeight="1">
      <c r="A98" s="114" t="s">
        <v>324</v>
      </c>
      <c r="B98" s="118">
        <f>INT(F1*1.47)</f>
        <v>99</v>
      </c>
      <c r="C98" s="112">
        <v>0</v>
      </c>
      <c r="D98" s="95">
        <v>0</v>
      </c>
      <c r="E98" s="69">
        <f t="shared" si="3"/>
        <v>0</v>
      </c>
    </row>
    <row r="99" spans="1:5" ht="10.5" customHeight="1">
      <c r="A99" s="114" t="s">
        <v>325</v>
      </c>
      <c r="B99" s="118">
        <f>INT(F1*1.47)</f>
        <v>99</v>
      </c>
      <c r="C99" s="112">
        <v>0</v>
      </c>
      <c r="D99" s="95">
        <v>0</v>
      </c>
      <c r="E99" s="69">
        <f t="shared" si="3"/>
        <v>0</v>
      </c>
    </row>
    <row r="100" spans="1:5" ht="10.5" customHeight="1">
      <c r="A100" s="114" t="s">
        <v>326</v>
      </c>
      <c r="B100" s="118">
        <f>INT(F1*1.47)</f>
        <v>99</v>
      </c>
      <c r="C100" s="112">
        <v>0</v>
      </c>
      <c r="D100" s="95">
        <v>0</v>
      </c>
      <c r="E100" s="69">
        <f t="shared" si="3"/>
        <v>0</v>
      </c>
    </row>
    <row r="101" spans="1:5" ht="10.5" customHeight="1">
      <c r="A101" s="114" t="s">
        <v>327</v>
      </c>
      <c r="B101" s="118">
        <f>INT(F1*1.07)</f>
        <v>72</v>
      </c>
      <c r="C101" s="112">
        <v>0</v>
      </c>
      <c r="D101" s="95" t="s">
        <v>142</v>
      </c>
      <c r="E101" s="69">
        <f>(B101*C101)</f>
        <v>0</v>
      </c>
    </row>
    <row r="102" spans="1:5" ht="10.5" customHeight="1">
      <c r="A102" s="56" t="s">
        <v>328</v>
      </c>
      <c r="B102" s="118"/>
      <c r="C102" s="118"/>
      <c r="D102" s="119"/>
      <c r="E102" s="118"/>
    </row>
    <row r="103" spans="1:5" ht="10.5" customHeight="1">
      <c r="A103" s="84" t="s">
        <v>291</v>
      </c>
      <c r="B103" s="75">
        <f>INT(F1*2.84)</f>
        <v>193</v>
      </c>
      <c r="C103" s="69">
        <v>0</v>
      </c>
      <c r="D103" s="95">
        <v>0</v>
      </c>
      <c r="E103" s="69">
        <f aca="true" t="shared" si="4" ref="E103:E112">(B103*C103)+((B103+60)*D103)</f>
        <v>0</v>
      </c>
    </row>
    <row r="104" spans="1:5" ht="10.5" customHeight="1">
      <c r="A104" s="84" t="s">
        <v>292</v>
      </c>
      <c r="B104" s="75">
        <f>INT(F1*2.84)</f>
        <v>193</v>
      </c>
      <c r="C104" s="69">
        <v>0</v>
      </c>
      <c r="D104" s="95">
        <v>0</v>
      </c>
      <c r="E104" s="69">
        <f t="shared" si="4"/>
        <v>0</v>
      </c>
    </row>
    <row r="105" spans="1:5" ht="10.5" customHeight="1">
      <c r="A105" s="84" t="s">
        <v>290</v>
      </c>
      <c r="B105" s="75">
        <f>INT(F1*2.84)</f>
        <v>193</v>
      </c>
      <c r="C105" s="69">
        <v>0</v>
      </c>
      <c r="D105" s="95">
        <v>0</v>
      </c>
      <c r="E105" s="69">
        <f t="shared" si="4"/>
        <v>0</v>
      </c>
    </row>
    <row r="106" spans="1:5" ht="10.5" customHeight="1">
      <c r="A106" s="84" t="s">
        <v>293</v>
      </c>
      <c r="B106" s="75">
        <f>INT(F1*2.84)</f>
        <v>193</v>
      </c>
      <c r="C106" s="69">
        <v>0</v>
      </c>
      <c r="D106" s="95">
        <v>0</v>
      </c>
      <c r="E106" s="69">
        <f t="shared" si="4"/>
        <v>0</v>
      </c>
    </row>
    <row r="107" spans="1:5" ht="10.5" customHeight="1">
      <c r="A107" s="84" t="s">
        <v>294</v>
      </c>
      <c r="B107" s="75">
        <f>INT(F1*2.84)</f>
        <v>193</v>
      </c>
      <c r="C107" s="69">
        <v>0</v>
      </c>
      <c r="D107" s="95">
        <v>0</v>
      </c>
      <c r="E107" s="69">
        <f t="shared" si="4"/>
        <v>0</v>
      </c>
    </row>
    <row r="108" spans="1:5" ht="10.5" customHeight="1">
      <c r="A108" s="84" t="s">
        <v>298</v>
      </c>
      <c r="B108" s="75">
        <f>INT(F1*2.84)</f>
        <v>193</v>
      </c>
      <c r="C108" s="69">
        <v>0</v>
      </c>
      <c r="D108" s="95">
        <v>0</v>
      </c>
      <c r="E108" s="69">
        <f t="shared" si="4"/>
        <v>0</v>
      </c>
    </row>
    <row r="109" spans="1:5" ht="10.5" customHeight="1">
      <c r="A109" s="84" t="s">
        <v>295</v>
      </c>
      <c r="B109" s="75">
        <f>INT(F1*2.84)</f>
        <v>193</v>
      </c>
      <c r="C109" s="69">
        <v>0</v>
      </c>
      <c r="D109" s="95">
        <v>0</v>
      </c>
      <c r="E109" s="69">
        <f t="shared" si="4"/>
        <v>0</v>
      </c>
    </row>
    <row r="110" spans="1:5" ht="10.5" customHeight="1">
      <c r="A110" s="84" t="s">
        <v>296</v>
      </c>
      <c r="B110" s="75">
        <f>INT(F1*3)</f>
        <v>204</v>
      </c>
      <c r="C110" s="69">
        <v>0</v>
      </c>
      <c r="D110" s="95">
        <v>0</v>
      </c>
      <c r="E110" s="69">
        <f t="shared" si="4"/>
        <v>0</v>
      </c>
    </row>
    <row r="111" spans="1:5" ht="10.5" customHeight="1">
      <c r="A111" s="84" t="s">
        <v>297</v>
      </c>
      <c r="B111" s="75">
        <f>INT(F1*3)</f>
        <v>204</v>
      </c>
      <c r="C111" s="69">
        <v>0</v>
      </c>
      <c r="D111" s="95">
        <v>0</v>
      </c>
      <c r="E111" s="69">
        <f t="shared" si="4"/>
        <v>0</v>
      </c>
    </row>
    <row r="112" spans="1:5" ht="10.5" customHeight="1">
      <c r="A112" s="84" t="s">
        <v>299</v>
      </c>
      <c r="B112" s="75">
        <f>INT(F1*2.84)</f>
        <v>193</v>
      </c>
      <c r="C112" s="69">
        <v>0</v>
      </c>
      <c r="D112" s="95">
        <v>0</v>
      </c>
      <c r="E112" s="69">
        <f t="shared" si="4"/>
        <v>0</v>
      </c>
    </row>
    <row r="113" spans="1:5" s="54" customFormat="1" ht="12" customHeight="1">
      <c r="A113" s="61" t="s">
        <v>306</v>
      </c>
      <c r="B113" s="91"/>
      <c r="C113" s="77"/>
      <c r="D113" s="77"/>
      <c r="E113" s="78"/>
    </row>
    <row r="114" spans="1:5" ht="9.75" customHeight="1">
      <c r="A114" s="55" t="s">
        <v>181</v>
      </c>
      <c r="B114" s="73">
        <f>INT(F1*3.65)</f>
        <v>248</v>
      </c>
      <c r="C114" s="69">
        <v>0</v>
      </c>
      <c r="D114" s="69">
        <v>0</v>
      </c>
      <c r="E114" s="69">
        <f>(B114*C114)+((B114+60)*D114)</f>
        <v>0</v>
      </c>
    </row>
    <row r="115" spans="1:5" ht="9.75" customHeight="1">
      <c r="A115" s="55" t="s">
        <v>182</v>
      </c>
      <c r="B115" s="73">
        <f>INT(F1*3.65)</f>
        <v>248</v>
      </c>
      <c r="C115" s="69">
        <v>0</v>
      </c>
      <c r="D115" s="69">
        <v>0</v>
      </c>
      <c r="E115" s="69">
        <f>(B115*C115)+((B115+30)*D115)</f>
        <v>0</v>
      </c>
    </row>
    <row r="116" spans="1:5" ht="9.75" customHeight="1">
      <c r="A116" s="55" t="s">
        <v>183</v>
      </c>
      <c r="B116" s="73">
        <f>INT(F1*3.65)</f>
        <v>248</v>
      </c>
      <c r="C116" s="69">
        <v>0</v>
      </c>
      <c r="D116" s="69">
        <v>0</v>
      </c>
      <c r="E116" s="69">
        <f>(B116*C116)+((B116+60)*D116)</f>
        <v>0</v>
      </c>
    </row>
    <row r="117" spans="1:5" ht="9.75" customHeight="1">
      <c r="A117" s="55" t="s">
        <v>5</v>
      </c>
      <c r="B117" s="73">
        <f>INT(F1*1)</f>
        <v>68</v>
      </c>
      <c r="C117" s="69">
        <v>0</v>
      </c>
      <c r="D117" s="69">
        <v>0</v>
      </c>
      <c r="E117" s="69">
        <f>(B117*C117)+((B117+30)*D117)</f>
        <v>0</v>
      </c>
    </row>
    <row r="118" spans="1:5" ht="9.75" customHeight="1">
      <c r="A118" s="62" t="s">
        <v>6</v>
      </c>
      <c r="B118" s="73">
        <f>INT(F1*1)</f>
        <v>68</v>
      </c>
      <c r="C118" s="69">
        <v>0</v>
      </c>
      <c r="D118" s="69">
        <v>0</v>
      </c>
      <c r="E118" s="69">
        <f>(B118*C118)+((B118+60)*D118)</f>
        <v>0</v>
      </c>
    </row>
    <row r="119" spans="1:5" ht="9.75" customHeight="1">
      <c r="A119" s="62" t="s">
        <v>7</v>
      </c>
      <c r="B119" s="73">
        <f>INT(F1*1)</f>
        <v>68</v>
      </c>
      <c r="C119" s="69">
        <v>0</v>
      </c>
      <c r="D119" s="69">
        <v>0</v>
      </c>
      <c r="E119" s="69">
        <f>(B119*C119)+((B119+30)*D119)</f>
        <v>0</v>
      </c>
    </row>
    <row r="120" spans="1:5" ht="9.75" customHeight="1">
      <c r="A120" s="62" t="s">
        <v>8</v>
      </c>
      <c r="B120" s="73">
        <f>INT(F1*1.05)</f>
        <v>71</v>
      </c>
      <c r="C120" s="69">
        <v>0</v>
      </c>
      <c r="D120" s="69">
        <v>0</v>
      </c>
      <c r="E120" s="69">
        <f>(B120*C120)+((B120+30)*D120)</f>
        <v>0</v>
      </c>
    </row>
    <row r="121" spans="1:5" ht="9.75" customHeight="1">
      <c r="A121" s="62" t="s">
        <v>9</v>
      </c>
      <c r="B121" s="73">
        <f>INT(F1*1.75)</f>
        <v>119</v>
      </c>
      <c r="C121" s="69">
        <v>0</v>
      </c>
      <c r="D121" s="69">
        <v>0</v>
      </c>
      <c r="E121" s="69">
        <f>(B121*C121)+((B121+60)*D121)</f>
        <v>0</v>
      </c>
    </row>
    <row r="122" spans="1:5" ht="9.75" customHeight="1">
      <c r="A122" s="62" t="s">
        <v>10</v>
      </c>
      <c r="B122" s="73">
        <f>INT(F1*1.5)</f>
        <v>102</v>
      </c>
      <c r="C122" s="69">
        <v>0</v>
      </c>
      <c r="D122" s="69">
        <v>0</v>
      </c>
      <c r="E122" s="69">
        <f>(B122*C122)+((B122+60)*D122)</f>
        <v>0</v>
      </c>
    </row>
    <row r="123" spans="1:5" s="54" customFormat="1" ht="11.25" customHeight="1">
      <c r="A123" s="109" t="s">
        <v>307</v>
      </c>
      <c r="B123" s="79"/>
      <c r="C123" s="79"/>
      <c r="D123" s="79"/>
      <c r="E123" s="78"/>
    </row>
    <row r="124" spans="1:5" ht="9.75" customHeight="1">
      <c r="A124" s="62" t="s">
        <v>11</v>
      </c>
      <c r="B124" s="73">
        <f>INT(F1*2.9)</f>
        <v>197</v>
      </c>
      <c r="C124" s="69">
        <v>0</v>
      </c>
      <c r="D124" s="69">
        <v>0</v>
      </c>
      <c r="E124" s="69">
        <f>(B124*C124)+((B124+60)*D124)</f>
        <v>0</v>
      </c>
    </row>
    <row r="125" spans="1:5" ht="9.75" customHeight="1">
      <c r="A125" s="62" t="s">
        <v>12</v>
      </c>
      <c r="B125" s="73">
        <f>INT(F1*4.2)</f>
        <v>285</v>
      </c>
      <c r="C125" s="69">
        <v>0</v>
      </c>
      <c r="D125" s="69">
        <v>0</v>
      </c>
      <c r="E125" s="69">
        <f>(B125*C125)+((B125+80)*D125)</f>
        <v>0</v>
      </c>
    </row>
    <row r="126" spans="1:5" ht="9.75" customHeight="1">
      <c r="A126" s="62" t="s">
        <v>13</v>
      </c>
      <c r="B126" s="73">
        <f>INT(F1*4.2)</f>
        <v>285</v>
      </c>
      <c r="C126" s="69">
        <v>0</v>
      </c>
      <c r="D126" s="69">
        <v>0</v>
      </c>
      <c r="E126" s="69">
        <f>(B126*C126)+((B126+80)*D126)</f>
        <v>0</v>
      </c>
    </row>
    <row r="127" spans="1:5" ht="9.75" customHeight="1">
      <c r="A127" s="62" t="s">
        <v>151</v>
      </c>
      <c r="B127" s="73">
        <f>INT(F1*4.2)</f>
        <v>285</v>
      </c>
      <c r="C127" s="69">
        <v>0</v>
      </c>
      <c r="D127" s="69">
        <v>0</v>
      </c>
      <c r="E127" s="69">
        <f>(B127*C127)+((B127+80)*D127)</f>
        <v>0</v>
      </c>
    </row>
    <row r="128" spans="1:5" ht="9.75" customHeight="1">
      <c r="A128" s="62" t="s">
        <v>14</v>
      </c>
      <c r="B128" s="73">
        <f>INT(F1*5.875)</f>
        <v>399</v>
      </c>
      <c r="C128" s="69">
        <v>0</v>
      </c>
      <c r="D128" s="69">
        <v>0</v>
      </c>
      <c r="E128" s="69">
        <f>(B128*C128)+((B128+100)*D128)</f>
        <v>0</v>
      </c>
    </row>
    <row r="129" spans="1:5" ht="9.75" customHeight="1">
      <c r="A129" s="62" t="s">
        <v>15</v>
      </c>
      <c r="B129" s="73">
        <f>INT(F1*4.2)</f>
        <v>285</v>
      </c>
      <c r="C129" s="69">
        <v>0</v>
      </c>
      <c r="D129" s="69">
        <v>0</v>
      </c>
      <c r="E129" s="69">
        <f>(B129*C129)+((B129+80)*D129)</f>
        <v>0</v>
      </c>
    </row>
    <row r="130" spans="1:5" ht="9.75" customHeight="1">
      <c r="A130" s="62" t="s">
        <v>16</v>
      </c>
      <c r="B130" s="73">
        <f>INT(F1*4.2)</f>
        <v>285</v>
      </c>
      <c r="C130" s="69">
        <v>0</v>
      </c>
      <c r="D130" s="69">
        <v>0</v>
      </c>
      <c r="E130" s="69">
        <f>(B130*C130)+((B130+80)*D130)</f>
        <v>0</v>
      </c>
    </row>
    <row r="131" spans="1:5" ht="9.75" customHeight="1">
      <c r="A131" s="62" t="s">
        <v>17</v>
      </c>
      <c r="B131" s="73">
        <f>INT(F1*3.125)</f>
        <v>212</v>
      </c>
      <c r="C131" s="69">
        <v>0</v>
      </c>
      <c r="D131" s="69">
        <v>0</v>
      </c>
      <c r="E131" s="69">
        <f>(B131*C131)+((B131+80)*D131)</f>
        <v>0</v>
      </c>
    </row>
    <row r="132" spans="1:5" ht="9.75" customHeight="1">
      <c r="A132" s="62" t="s">
        <v>18</v>
      </c>
      <c r="B132" s="73">
        <f>INT(F1*4.5)</f>
        <v>306</v>
      </c>
      <c r="C132" s="69">
        <v>0</v>
      </c>
      <c r="D132" s="69">
        <v>0</v>
      </c>
      <c r="E132" s="69">
        <f>(B132*C132)+((B132+80)*D132)</f>
        <v>0</v>
      </c>
    </row>
    <row r="133" spans="1:5" s="54" customFormat="1" ht="11.25" customHeight="1">
      <c r="A133" s="109" t="s">
        <v>308</v>
      </c>
      <c r="B133" s="63"/>
      <c r="C133" s="79"/>
      <c r="D133" s="79"/>
      <c r="E133" s="78"/>
    </row>
    <row r="134" spans="1:5" ht="9.75" customHeight="1">
      <c r="A134" s="62" t="s">
        <v>19</v>
      </c>
      <c r="B134" s="73">
        <f>INT(F1*0.95)</f>
        <v>64</v>
      </c>
      <c r="C134" s="69">
        <v>0</v>
      </c>
      <c r="D134" s="69">
        <v>0</v>
      </c>
      <c r="E134" s="69">
        <f>(B134*C134)+((B134+30)*D134)</f>
        <v>0</v>
      </c>
    </row>
    <row r="135" spans="1:5" ht="9.75" customHeight="1">
      <c r="A135" s="62" t="s">
        <v>33</v>
      </c>
      <c r="B135" s="73">
        <f>INT(F1*1.175)</f>
        <v>79</v>
      </c>
      <c r="C135" s="69">
        <v>0</v>
      </c>
      <c r="D135" s="69">
        <v>0</v>
      </c>
      <c r="E135" s="69">
        <f>(B135*C135)+(B135*D135)</f>
        <v>0</v>
      </c>
    </row>
    <row r="136" spans="1:5" s="54" customFormat="1" ht="11.25" customHeight="1">
      <c r="A136" s="109" t="s">
        <v>309</v>
      </c>
      <c r="B136" s="63"/>
      <c r="C136" s="79"/>
      <c r="D136" s="79"/>
      <c r="E136" s="78"/>
    </row>
    <row r="137" spans="1:5" ht="9.75" customHeight="1">
      <c r="A137" s="62" t="s">
        <v>20</v>
      </c>
      <c r="B137" s="73">
        <f>INT(F1*1.45)</f>
        <v>98</v>
      </c>
      <c r="C137" s="69">
        <v>0</v>
      </c>
      <c r="D137" s="69">
        <v>0</v>
      </c>
      <c r="E137" s="69">
        <f>(B137*C137)+((B137+30)*D137)</f>
        <v>0</v>
      </c>
    </row>
    <row r="138" spans="1:5" ht="9.75" customHeight="1">
      <c r="A138" s="62" t="s">
        <v>21</v>
      </c>
      <c r="B138" s="73">
        <f>INT(F1*1.125)</f>
        <v>76</v>
      </c>
      <c r="C138" s="69">
        <v>0</v>
      </c>
      <c r="D138" s="69">
        <v>0</v>
      </c>
      <c r="E138" s="69">
        <f>(B138*C138)+(B138*D138)</f>
        <v>0</v>
      </c>
    </row>
    <row r="139" spans="1:5" s="54" customFormat="1" ht="11.25" customHeight="1">
      <c r="A139" s="109" t="s">
        <v>310</v>
      </c>
      <c r="B139" s="79"/>
      <c r="C139" s="79"/>
      <c r="D139" s="79"/>
      <c r="E139" s="79"/>
    </row>
    <row r="140" spans="1:5" ht="9.75" customHeight="1">
      <c r="A140" s="62" t="s">
        <v>22</v>
      </c>
      <c r="B140" s="73">
        <f>INT(F1*1.075)</f>
        <v>73</v>
      </c>
      <c r="C140" s="69">
        <v>0</v>
      </c>
      <c r="D140" s="124" t="s">
        <v>142</v>
      </c>
      <c r="E140" s="69">
        <f>(B140*C140)</f>
        <v>0</v>
      </c>
    </row>
    <row r="141" spans="1:5" ht="9.75" customHeight="1">
      <c r="A141" s="62" t="s">
        <v>23</v>
      </c>
      <c r="B141" s="73">
        <f>INT(F1*0.95)</f>
        <v>64</v>
      </c>
      <c r="C141" s="69">
        <v>0</v>
      </c>
      <c r="D141" s="125"/>
      <c r="E141" s="69">
        <f>(B141*C141)</f>
        <v>0</v>
      </c>
    </row>
    <row r="142" spans="1:5" s="66" customFormat="1" ht="11.25" customHeight="1">
      <c r="A142" s="131" t="s">
        <v>266</v>
      </c>
      <c r="B142" s="131"/>
      <c r="C142" s="131"/>
      <c r="D142" s="64"/>
      <c r="E142" s="65"/>
    </row>
    <row r="143" spans="1:5" ht="9.75" customHeight="1">
      <c r="A143" s="80" t="s">
        <v>26</v>
      </c>
      <c r="B143" s="81">
        <f>INT(F1*10)</f>
        <v>680</v>
      </c>
      <c r="C143" s="69">
        <v>0</v>
      </c>
      <c r="D143" s="76" t="s">
        <v>142</v>
      </c>
      <c r="E143" s="69">
        <f>(B143*C143)</f>
        <v>0</v>
      </c>
    </row>
    <row r="144" spans="1:6" s="68" customFormat="1" ht="12.75" customHeight="1">
      <c r="A144" s="130" t="s">
        <v>45</v>
      </c>
      <c r="B144" s="130"/>
      <c r="C144" s="130"/>
      <c r="D144" s="130"/>
      <c r="E144" s="82">
        <f>SUM(E5:E143)</f>
        <v>0</v>
      </c>
      <c r="F144" s="67"/>
    </row>
    <row r="145" spans="1:5" ht="14.25" customHeight="1">
      <c r="A145" s="126" t="s">
        <v>63</v>
      </c>
      <c r="B145" s="126"/>
      <c r="C145" s="126"/>
      <c r="D145" s="126"/>
      <c r="E145" s="83">
        <f>E144+'Terochki.ru'!E84+'Massagerell.ru'!D9+'Сarapky.ru'!D35+'2Resnichki.ru'!F44+'Warbrushes.ru'!D16</f>
        <v>0</v>
      </c>
    </row>
    <row r="146" spans="1:5" ht="12" customHeight="1">
      <c r="A146" s="120" t="s">
        <v>137</v>
      </c>
      <c r="B146" s="120"/>
      <c r="C146" s="120"/>
      <c r="D146" s="120"/>
      <c r="E146" s="120"/>
    </row>
  </sheetData>
  <sheetProtection/>
  <mergeCells count="14">
    <mergeCell ref="A1:E1"/>
    <mergeCell ref="A144:D144"/>
    <mergeCell ref="A142:C142"/>
    <mergeCell ref="E2:E3"/>
    <mergeCell ref="B2:B3"/>
    <mergeCell ref="A64:E64"/>
    <mergeCell ref="B4:E4"/>
    <mergeCell ref="A146:E146"/>
    <mergeCell ref="D5:D25"/>
    <mergeCell ref="D140:D141"/>
    <mergeCell ref="A145:D145"/>
    <mergeCell ref="A2:A3"/>
    <mergeCell ref="C2:C3"/>
    <mergeCell ref="D2:D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86"/>
  <sheetViews>
    <sheetView zoomScale="106" zoomScaleNormal="106" workbookViewId="0" topLeftCell="A1">
      <selection activeCell="F1" sqref="F1"/>
    </sheetView>
  </sheetViews>
  <sheetFormatPr defaultColWidth="9.140625" defaultRowHeight="9.75" customHeight="1"/>
  <cols>
    <col min="1" max="1" width="40.28125" style="2" customWidth="1"/>
    <col min="2" max="2" width="11.421875" style="2" customWidth="1"/>
    <col min="3" max="4" width="11.140625" style="2" customWidth="1"/>
    <col min="5" max="5" width="11.28125" style="2" customWidth="1"/>
    <col min="6" max="6" width="14.8515625" style="2" customWidth="1"/>
    <col min="7" max="16384" width="9.140625" style="2" customWidth="1"/>
  </cols>
  <sheetData>
    <row r="1" spans="1:6" ht="27.75" customHeight="1">
      <c r="A1" s="149" t="s">
        <v>208</v>
      </c>
      <c r="B1" s="149"/>
      <c r="C1" s="149"/>
      <c r="D1" s="149"/>
      <c r="E1" s="149"/>
      <c r="F1" s="71">
        <v>68</v>
      </c>
    </row>
    <row r="2" spans="1:6" ht="10.5" customHeight="1">
      <c r="A2" s="150"/>
      <c r="B2" s="150"/>
      <c r="C2" s="150"/>
      <c r="D2" s="150"/>
      <c r="E2" s="150"/>
      <c r="F2" s="52" t="s">
        <v>152</v>
      </c>
    </row>
    <row r="3" spans="1:6" ht="9.75" customHeight="1">
      <c r="A3" s="151" t="s">
        <v>0</v>
      </c>
      <c r="B3" s="152" t="s">
        <v>43</v>
      </c>
      <c r="C3" s="152" t="s">
        <v>136</v>
      </c>
      <c r="D3" s="151" t="s">
        <v>135</v>
      </c>
      <c r="E3" s="151" t="s">
        <v>1</v>
      </c>
      <c r="F3" s="74" t="s">
        <v>154</v>
      </c>
    </row>
    <row r="4" spans="1:6" ht="15" customHeight="1">
      <c r="A4" s="151"/>
      <c r="B4" s="153"/>
      <c r="C4" s="153"/>
      <c r="D4" s="151"/>
      <c r="E4" s="151"/>
      <c r="F4" s="102" t="s">
        <v>342</v>
      </c>
    </row>
    <row r="5" spans="1:5" ht="12" customHeight="1">
      <c r="A5" s="46" t="s">
        <v>139</v>
      </c>
      <c r="B5" s="145" t="s">
        <v>122</v>
      </c>
      <c r="C5" s="145"/>
      <c r="D5" s="145"/>
      <c r="E5" s="146"/>
    </row>
    <row r="6" spans="1:5" ht="10.5" customHeight="1">
      <c r="A6" s="89" t="s">
        <v>333</v>
      </c>
      <c r="B6" s="28">
        <f>INT(F1*0.8)</f>
        <v>54</v>
      </c>
      <c r="C6" s="3">
        <v>0</v>
      </c>
      <c r="D6" s="32" t="s">
        <v>142</v>
      </c>
      <c r="E6" s="3">
        <f aca="true" t="shared" si="0" ref="E6:E12">(B6*C6)</f>
        <v>0</v>
      </c>
    </row>
    <row r="7" spans="1:5" ht="10.5" customHeight="1">
      <c r="A7" s="89" t="s">
        <v>334</v>
      </c>
      <c r="B7" s="28">
        <f>INT(F1*0.8)</f>
        <v>54</v>
      </c>
      <c r="C7" s="3">
        <v>0</v>
      </c>
      <c r="D7" s="32" t="s">
        <v>142</v>
      </c>
      <c r="E7" s="3">
        <f t="shared" si="0"/>
        <v>0</v>
      </c>
    </row>
    <row r="8" spans="1:5" ht="10.5" customHeight="1">
      <c r="A8" s="89" t="s">
        <v>335</v>
      </c>
      <c r="B8" s="28">
        <f>INT(F1*0.8)</f>
        <v>54</v>
      </c>
      <c r="C8" s="3">
        <v>0</v>
      </c>
      <c r="D8" s="32" t="s">
        <v>142</v>
      </c>
      <c r="E8" s="3">
        <f t="shared" si="0"/>
        <v>0</v>
      </c>
    </row>
    <row r="9" spans="1:5" ht="10.5" customHeight="1">
      <c r="A9" s="89" t="s">
        <v>336</v>
      </c>
      <c r="B9" s="28">
        <f>INT(F1*1.2)</f>
        <v>81</v>
      </c>
      <c r="C9" s="3">
        <v>0</v>
      </c>
      <c r="D9" s="32" t="s">
        <v>142</v>
      </c>
      <c r="E9" s="3">
        <f t="shared" si="0"/>
        <v>0</v>
      </c>
    </row>
    <row r="10" spans="1:5" ht="10.5" customHeight="1">
      <c r="A10" s="89" t="s">
        <v>337</v>
      </c>
      <c r="B10" s="28">
        <f>INT(F1*1.2)</f>
        <v>81</v>
      </c>
      <c r="C10" s="3">
        <v>0</v>
      </c>
      <c r="D10" s="32" t="s">
        <v>142</v>
      </c>
      <c r="E10" s="3">
        <f t="shared" si="0"/>
        <v>0</v>
      </c>
    </row>
    <row r="11" spans="1:5" ht="10.5" customHeight="1">
      <c r="A11" s="89" t="s">
        <v>338</v>
      </c>
      <c r="B11" s="28">
        <f>INT(F1*1.2)</f>
        <v>81</v>
      </c>
      <c r="C11" s="3">
        <v>0</v>
      </c>
      <c r="D11" s="32" t="s">
        <v>142</v>
      </c>
      <c r="E11" s="3">
        <f t="shared" si="0"/>
        <v>0</v>
      </c>
    </row>
    <row r="12" spans="1:5" ht="10.5" customHeight="1">
      <c r="A12" s="16" t="s">
        <v>192</v>
      </c>
      <c r="B12" s="28">
        <f>INT(F1*6.55)</f>
        <v>445</v>
      </c>
      <c r="C12" s="3">
        <v>0</v>
      </c>
      <c r="D12" s="32" t="s">
        <v>142</v>
      </c>
      <c r="E12" s="3">
        <f t="shared" si="0"/>
        <v>0</v>
      </c>
    </row>
    <row r="13" spans="1:5" ht="10.5" customHeight="1">
      <c r="A13" s="16" t="s">
        <v>332</v>
      </c>
      <c r="B13" s="28">
        <f>INT(F1*6.9)</f>
        <v>469</v>
      </c>
      <c r="C13" s="3">
        <v>0</v>
      </c>
      <c r="D13" s="32" t="s">
        <v>142</v>
      </c>
      <c r="E13" s="3">
        <f aca="true" t="shared" si="1" ref="E13:E18">(B13*C13)</f>
        <v>0</v>
      </c>
    </row>
    <row r="14" spans="1:5" ht="10.5" customHeight="1">
      <c r="A14" s="16" t="s">
        <v>331</v>
      </c>
      <c r="B14" s="28">
        <f>INT(F1*7.75)</f>
        <v>527</v>
      </c>
      <c r="C14" s="3">
        <v>0</v>
      </c>
      <c r="D14" s="32" t="s">
        <v>142</v>
      </c>
      <c r="E14" s="3">
        <f t="shared" si="1"/>
        <v>0</v>
      </c>
    </row>
    <row r="15" spans="1:5" ht="10.5" customHeight="1">
      <c r="A15" s="89" t="s">
        <v>339</v>
      </c>
      <c r="B15" s="28">
        <f>INT(F1*15.48)</f>
        <v>1052</v>
      </c>
      <c r="C15" s="3">
        <v>0</v>
      </c>
      <c r="D15" s="32" t="s">
        <v>142</v>
      </c>
      <c r="E15" s="3">
        <f t="shared" si="1"/>
        <v>0</v>
      </c>
    </row>
    <row r="16" spans="1:5" ht="10.5" customHeight="1">
      <c r="A16" s="89" t="s">
        <v>340</v>
      </c>
      <c r="B16" s="28">
        <f>INT(F1*15.48)</f>
        <v>1052</v>
      </c>
      <c r="C16" s="3">
        <v>0</v>
      </c>
      <c r="D16" s="32" t="s">
        <v>142</v>
      </c>
      <c r="E16" s="3">
        <f>(B16*C16)</f>
        <v>0</v>
      </c>
    </row>
    <row r="17" spans="1:5" ht="10.5" customHeight="1">
      <c r="A17" s="16" t="s">
        <v>330</v>
      </c>
      <c r="B17" s="28">
        <f>INT(F1*1.51)</f>
        <v>102</v>
      </c>
      <c r="C17" s="3">
        <v>0</v>
      </c>
      <c r="D17" s="32" t="s">
        <v>142</v>
      </c>
      <c r="E17" s="3">
        <f t="shared" si="1"/>
        <v>0</v>
      </c>
    </row>
    <row r="18" spans="1:5" ht="10.5" customHeight="1">
      <c r="A18" s="16" t="s">
        <v>329</v>
      </c>
      <c r="B18" s="28">
        <f>INT(F1*0.91)</f>
        <v>61</v>
      </c>
      <c r="C18" s="3">
        <v>0</v>
      </c>
      <c r="D18" s="32" t="s">
        <v>142</v>
      </c>
      <c r="E18" s="3">
        <f t="shared" si="1"/>
        <v>0</v>
      </c>
    </row>
    <row r="19" spans="1:5" ht="10.5" customHeight="1">
      <c r="A19" s="103" t="s">
        <v>263</v>
      </c>
      <c r="B19" s="20"/>
      <c r="C19" s="20"/>
      <c r="D19" s="34"/>
      <c r="E19" s="20"/>
    </row>
    <row r="20" spans="1:5" ht="10.5" customHeight="1">
      <c r="A20" s="89" t="s">
        <v>231</v>
      </c>
      <c r="B20" s="28">
        <f>INT(F1*1.06)</f>
        <v>72</v>
      </c>
      <c r="C20" s="3">
        <v>0</v>
      </c>
      <c r="D20" s="3">
        <v>0</v>
      </c>
      <c r="E20" s="3">
        <f>(B20*C20)+((B20+30)*D20)</f>
        <v>0</v>
      </c>
    </row>
    <row r="21" spans="1:5" ht="10.5" customHeight="1">
      <c r="A21" s="89" t="s">
        <v>232</v>
      </c>
      <c r="B21" s="28">
        <f>INT(F1*1.06)</f>
        <v>72</v>
      </c>
      <c r="C21" s="3">
        <v>0</v>
      </c>
      <c r="D21" s="3">
        <v>0</v>
      </c>
      <c r="E21" s="3">
        <f>(B21*C21)+((B21+30)*D21)</f>
        <v>0</v>
      </c>
    </row>
    <row r="22" spans="1:5" ht="10.5" customHeight="1">
      <c r="A22" s="89" t="s">
        <v>233</v>
      </c>
      <c r="B22" s="28">
        <f>INT(F1*1.13)</f>
        <v>76</v>
      </c>
      <c r="C22" s="3">
        <v>0</v>
      </c>
      <c r="D22" s="3">
        <v>0</v>
      </c>
      <c r="E22" s="3">
        <f>(B22*C22)+((B22+30)*D22)</f>
        <v>0</v>
      </c>
    </row>
    <row r="23" spans="1:5" ht="10.5" customHeight="1">
      <c r="A23" s="89" t="s">
        <v>234</v>
      </c>
      <c r="B23" s="28">
        <f>INT(F1*1.06)</f>
        <v>72</v>
      </c>
      <c r="C23" s="3">
        <v>0</v>
      </c>
      <c r="D23" s="3">
        <v>0</v>
      </c>
      <c r="E23" s="3">
        <f>(B23*C23)+((B23+30)*D23)</f>
        <v>0</v>
      </c>
    </row>
    <row r="24" spans="1:5" ht="10.5" customHeight="1">
      <c r="A24" s="89" t="s">
        <v>235</v>
      </c>
      <c r="B24" s="28">
        <f>INT(F1*1.26)</f>
        <v>85</v>
      </c>
      <c r="C24" s="3">
        <v>0</v>
      </c>
      <c r="D24" s="3">
        <v>0</v>
      </c>
      <c r="E24" s="3">
        <f>(B24*C24)+((B24+30)*D24)</f>
        <v>0</v>
      </c>
    </row>
    <row r="25" spans="1:5" ht="10.5" customHeight="1">
      <c r="A25" s="89" t="s">
        <v>236</v>
      </c>
      <c r="B25" s="28">
        <f>INT(F1*1.13)</f>
        <v>76</v>
      </c>
      <c r="C25" s="3">
        <v>0</v>
      </c>
      <c r="D25" s="3">
        <v>0</v>
      </c>
      <c r="E25" s="3">
        <f>(B25*C25)+((B25+60)*D25)</f>
        <v>0</v>
      </c>
    </row>
    <row r="26" spans="1:5" ht="10.5" customHeight="1">
      <c r="A26" s="89" t="s">
        <v>237</v>
      </c>
      <c r="B26" s="28">
        <f>INT(F1*1.13)</f>
        <v>76</v>
      </c>
      <c r="C26" s="3">
        <v>0</v>
      </c>
      <c r="D26" s="3">
        <v>0</v>
      </c>
      <c r="E26" s="3">
        <f>(B26*C26)+((B26+60)*D26)</f>
        <v>0</v>
      </c>
    </row>
    <row r="27" spans="1:5" ht="10.5" customHeight="1">
      <c r="A27" s="89" t="s">
        <v>238</v>
      </c>
      <c r="B27" s="28">
        <f>INT(F1*1.13)</f>
        <v>76</v>
      </c>
      <c r="C27" s="3">
        <v>0</v>
      </c>
      <c r="D27" s="3">
        <v>0</v>
      </c>
      <c r="E27" s="3">
        <f>(B27*C27)+((B27+60)*D27)</f>
        <v>0</v>
      </c>
    </row>
    <row r="28" spans="1:5" ht="10.5" customHeight="1">
      <c r="A28" s="89" t="s">
        <v>239</v>
      </c>
      <c r="B28" s="28">
        <f>INT(F1*1.63)</f>
        <v>110</v>
      </c>
      <c r="C28" s="3">
        <v>0</v>
      </c>
      <c r="D28" s="3">
        <v>0</v>
      </c>
      <c r="E28" s="3">
        <f>(B28*C28)+((B28+30)*D28)</f>
        <v>0</v>
      </c>
    </row>
    <row r="29" spans="1:5" ht="10.5" customHeight="1">
      <c r="A29" s="89" t="s">
        <v>240</v>
      </c>
      <c r="B29" s="28">
        <f>INT(F1*1.42)</f>
        <v>96</v>
      </c>
      <c r="C29" s="3">
        <v>0</v>
      </c>
      <c r="D29" s="3">
        <v>0</v>
      </c>
      <c r="E29" s="3">
        <f>(B29*C29)+((B29+30)*D29)</f>
        <v>0</v>
      </c>
    </row>
    <row r="30" spans="1:5" ht="10.5" customHeight="1">
      <c r="A30" s="89" t="s">
        <v>241</v>
      </c>
      <c r="B30" s="28">
        <f>INT(F1*1.63)</f>
        <v>110</v>
      </c>
      <c r="C30" s="3">
        <v>0</v>
      </c>
      <c r="D30" s="3">
        <v>0</v>
      </c>
      <c r="E30" s="3">
        <f>(B30*C30)+((B30+30)*D30)</f>
        <v>0</v>
      </c>
    </row>
    <row r="31" spans="1:5" ht="10.5" customHeight="1">
      <c r="A31" s="89" t="s">
        <v>242</v>
      </c>
      <c r="B31" s="28">
        <f>INT(F1*1.63)</f>
        <v>110</v>
      </c>
      <c r="C31" s="3">
        <v>0</v>
      </c>
      <c r="D31" s="3">
        <v>0</v>
      </c>
      <c r="E31" s="3">
        <f>(B31*C31)+((B31+30)*D31)</f>
        <v>0</v>
      </c>
    </row>
    <row r="32" spans="1:5" ht="10.5" customHeight="1">
      <c r="A32" s="89" t="s">
        <v>243</v>
      </c>
      <c r="B32" s="28">
        <f>INT(F1*1.11)</f>
        <v>75</v>
      </c>
      <c r="C32" s="3">
        <v>0</v>
      </c>
      <c r="D32" s="3">
        <v>0</v>
      </c>
      <c r="E32" s="3">
        <f>(B32*C32)+((B32+30)*D32)</f>
        <v>0</v>
      </c>
    </row>
    <row r="33" spans="1:5" ht="10.5" customHeight="1">
      <c r="A33" s="89" t="s">
        <v>244</v>
      </c>
      <c r="B33" s="28">
        <f>INT(F1*1.22)</f>
        <v>82</v>
      </c>
      <c r="C33" s="3">
        <v>0</v>
      </c>
      <c r="D33" s="3">
        <v>0</v>
      </c>
      <c r="E33" s="3">
        <f>(B33*C33)+((B33+60)*D33)</f>
        <v>0</v>
      </c>
    </row>
    <row r="34" spans="1:5" ht="10.5" customHeight="1">
      <c r="A34" s="89" t="s">
        <v>245</v>
      </c>
      <c r="B34" s="28">
        <f>INT(F1*1.22)</f>
        <v>82</v>
      </c>
      <c r="C34" s="3">
        <v>0</v>
      </c>
      <c r="D34" s="3">
        <v>0</v>
      </c>
      <c r="E34" s="3">
        <f>(B34*C34)+((B34+60)*D34)</f>
        <v>0</v>
      </c>
    </row>
    <row r="35" spans="1:5" ht="10.5" customHeight="1">
      <c r="A35" s="103" t="s">
        <v>264</v>
      </c>
      <c r="B35" s="22"/>
      <c r="C35" s="22"/>
      <c r="D35" s="42"/>
      <c r="E35" s="22"/>
    </row>
    <row r="36" spans="1:5" ht="10.5" customHeight="1">
      <c r="A36" s="89" t="s">
        <v>246</v>
      </c>
      <c r="B36" s="28">
        <f>INT(F1*2.5)</f>
        <v>170</v>
      </c>
      <c r="C36" s="3">
        <v>0</v>
      </c>
      <c r="D36" s="3">
        <v>0</v>
      </c>
      <c r="E36" s="3">
        <f aca="true" t="shared" si="2" ref="E36:E52">(B36*C36)+((B36+60)*D36)</f>
        <v>0</v>
      </c>
    </row>
    <row r="37" spans="1:5" ht="10.5" customHeight="1">
      <c r="A37" s="89" t="s">
        <v>247</v>
      </c>
      <c r="B37" s="28">
        <f>INT(F1*3.59)</f>
        <v>244</v>
      </c>
      <c r="C37" s="3">
        <v>0</v>
      </c>
      <c r="D37" s="3">
        <v>0</v>
      </c>
      <c r="E37" s="3">
        <f t="shared" si="2"/>
        <v>0</v>
      </c>
    </row>
    <row r="38" spans="1:5" ht="10.5" customHeight="1">
      <c r="A38" s="89" t="s">
        <v>248</v>
      </c>
      <c r="B38" s="28">
        <f>INT(F1*3.29)</f>
        <v>223</v>
      </c>
      <c r="C38" s="3">
        <v>0</v>
      </c>
      <c r="D38" s="3">
        <v>0</v>
      </c>
      <c r="E38" s="3">
        <f t="shared" si="2"/>
        <v>0</v>
      </c>
    </row>
    <row r="39" spans="1:5" ht="10.5" customHeight="1">
      <c r="A39" s="89" t="s">
        <v>249</v>
      </c>
      <c r="B39" s="28">
        <f>INT(F1*2.61)</f>
        <v>177</v>
      </c>
      <c r="C39" s="3">
        <v>0</v>
      </c>
      <c r="D39" s="3">
        <v>0</v>
      </c>
      <c r="E39" s="3">
        <f t="shared" si="2"/>
        <v>0</v>
      </c>
    </row>
    <row r="40" spans="1:5" ht="10.5" customHeight="1">
      <c r="A40" s="89" t="s">
        <v>250</v>
      </c>
      <c r="B40" s="28">
        <f>INT(F1*3.59)</f>
        <v>244</v>
      </c>
      <c r="C40" s="3">
        <v>0</v>
      </c>
      <c r="D40" s="3">
        <v>0</v>
      </c>
      <c r="E40" s="3">
        <f t="shared" si="2"/>
        <v>0</v>
      </c>
    </row>
    <row r="41" spans="1:5" ht="10.5" customHeight="1">
      <c r="A41" s="89" t="s">
        <v>251</v>
      </c>
      <c r="B41" s="28">
        <f>INT(F1*3.09)</f>
        <v>210</v>
      </c>
      <c r="C41" s="3">
        <v>0</v>
      </c>
      <c r="D41" s="3">
        <v>0</v>
      </c>
      <c r="E41" s="3">
        <f t="shared" si="2"/>
        <v>0</v>
      </c>
    </row>
    <row r="42" spans="1:5" ht="10.5" customHeight="1">
      <c r="A42" s="89" t="s">
        <v>272</v>
      </c>
      <c r="B42" s="28">
        <f>INT(F1*3.09)</f>
        <v>210</v>
      </c>
      <c r="C42" s="3">
        <v>0</v>
      </c>
      <c r="D42" s="3">
        <v>0</v>
      </c>
      <c r="E42" s="3">
        <f t="shared" si="2"/>
        <v>0</v>
      </c>
    </row>
    <row r="43" spans="1:5" ht="10.5" customHeight="1">
      <c r="A43" s="89" t="s">
        <v>252</v>
      </c>
      <c r="B43" s="28">
        <f>INT(F1*2.31)</f>
        <v>157</v>
      </c>
      <c r="C43" s="3">
        <v>0</v>
      </c>
      <c r="D43" s="3">
        <v>0</v>
      </c>
      <c r="E43" s="3">
        <f t="shared" si="2"/>
        <v>0</v>
      </c>
    </row>
    <row r="44" spans="1:5" ht="10.5" customHeight="1">
      <c r="A44" s="89" t="s">
        <v>253</v>
      </c>
      <c r="B44" s="28">
        <f>INT(F1*3.09)</f>
        <v>210</v>
      </c>
      <c r="C44" s="3">
        <v>0</v>
      </c>
      <c r="D44" s="3">
        <v>0</v>
      </c>
      <c r="E44" s="3">
        <f t="shared" si="2"/>
        <v>0</v>
      </c>
    </row>
    <row r="45" spans="1:5" ht="10.5" customHeight="1">
      <c r="A45" s="89" t="s">
        <v>254</v>
      </c>
      <c r="B45" s="28">
        <f>INT(F1*3.09)</f>
        <v>210</v>
      </c>
      <c r="C45" s="3">
        <v>0</v>
      </c>
      <c r="D45" s="3">
        <v>0</v>
      </c>
      <c r="E45" s="3">
        <f t="shared" si="2"/>
        <v>0</v>
      </c>
    </row>
    <row r="46" spans="1:5" ht="10.5" customHeight="1">
      <c r="A46" s="89" t="s">
        <v>255</v>
      </c>
      <c r="B46" s="28">
        <f>INT(F1*3.09)</f>
        <v>210</v>
      </c>
      <c r="C46" s="3">
        <v>0</v>
      </c>
      <c r="D46" s="3">
        <v>0</v>
      </c>
      <c r="E46" s="3">
        <f t="shared" si="2"/>
        <v>0</v>
      </c>
    </row>
    <row r="47" spans="1:5" ht="10.5" customHeight="1">
      <c r="A47" s="89" t="s">
        <v>256</v>
      </c>
      <c r="B47" s="28">
        <f>INT(F1*3.59)</f>
        <v>244</v>
      </c>
      <c r="C47" s="3">
        <v>0</v>
      </c>
      <c r="D47" s="3">
        <v>0</v>
      </c>
      <c r="E47" s="3">
        <f t="shared" si="2"/>
        <v>0</v>
      </c>
    </row>
    <row r="48" spans="1:5" ht="10.5" customHeight="1">
      <c r="A48" s="89" t="s">
        <v>259</v>
      </c>
      <c r="B48" s="28">
        <f>INT(F1*2.5)</f>
        <v>170</v>
      </c>
      <c r="C48" s="3">
        <v>0</v>
      </c>
      <c r="D48" s="3">
        <v>0</v>
      </c>
      <c r="E48" s="3">
        <f t="shared" si="2"/>
        <v>0</v>
      </c>
    </row>
    <row r="49" spans="1:5" ht="10.5" customHeight="1">
      <c r="A49" s="89" t="s">
        <v>257</v>
      </c>
      <c r="B49" s="28">
        <f>INT(F1*2.13)</f>
        <v>144</v>
      </c>
      <c r="C49" s="3">
        <v>0</v>
      </c>
      <c r="D49" s="3">
        <v>0</v>
      </c>
      <c r="E49" s="3">
        <f t="shared" si="2"/>
        <v>0</v>
      </c>
    </row>
    <row r="50" spans="1:5" ht="10.5" customHeight="1">
      <c r="A50" s="89" t="s">
        <v>258</v>
      </c>
      <c r="B50" s="28">
        <f>INT(F1*2.61)</f>
        <v>177</v>
      </c>
      <c r="C50" s="3">
        <v>0</v>
      </c>
      <c r="D50" s="3">
        <v>0</v>
      </c>
      <c r="E50" s="3">
        <f t="shared" si="2"/>
        <v>0</v>
      </c>
    </row>
    <row r="51" spans="1:5" ht="10.5" customHeight="1">
      <c r="A51" s="89" t="s">
        <v>260</v>
      </c>
      <c r="B51" s="28">
        <f>INT(F1*2.85)</f>
        <v>193</v>
      </c>
      <c r="C51" s="3">
        <v>0</v>
      </c>
      <c r="D51" s="3">
        <v>0</v>
      </c>
      <c r="E51" s="3">
        <f t="shared" si="2"/>
        <v>0</v>
      </c>
    </row>
    <row r="52" spans="1:5" ht="10.5" customHeight="1">
      <c r="A52" s="89" t="s">
        <v>261</v>
      </c>
      <c r="B52" s="28">
        <f>INT(F1*2.85)</f>
        <v>193</v>
      </c>
      <c r="C52" s="3">
        <v>0</v>
      </c>
      <c r="D52" s="3">
        <v>0</v>
      </c>
      <c r="E52" s="3">
        <f t="shared" si="2"/>
        <v>0</v>
      </c>
    </row>
    <row r="53" spans="1:5" ht="10.5" customHeight="1">
      <c r="A53" s="89" t="s">
        <v>262</v>
      </c>
      <c r="B53" s="28">
        <f>INT(F1*3.09)</f>
        <v>210</v>
      </c>
      <c r="C53" s="3">
        <v>0</v>
      </c>
      <c r="D53" s="3">
        <v>0</v>
      </c>
      <c r="E53" s="3">
        <f>(B53*C53)+((B53+60)*D53)</f>
        <v>0</v>
      </c>
    </row>
    <row r="54" spans="1:5" ht="10.5" customHeight="1">
      <c r="A54" s="48" t="s">
        <v>265</v>
      </c>
      <c r="B54" s="147"/>
      <c r="C54" s="147"/>
      <c r="D54" s="147"/>
      <c r="E54" s="148"/>
    </row>
    <row r="55" spans="1:5" ht="10.5" customHeight="1">
      <c r="A55" s="89" t="s">
        <v>268</v>
      </c>
      <c r="B55" s="28">
        <f>INT(F1*2.7)</f>
        <v>183</v>
      </c>
      <c r="C55" s="3">
        <v>0</v>
      </c>
      <c r="D55" s="3">
        <v>0</v>
      </c>
      <c r="E55" s="3">
        <f aca="true" t="shared" si="3" ref="E55:E60">(B55*C55)+((B55+80)*D55)</f>
        <v>0</v>
      </c>
    </row>
    <row r="56" spans="1:5" ht="10.5" customHeight="1">
      <c r="A56" s="89" t="s">
        <v>269</v>
      </c>
      <c r="B56" s="28">
        <f>INT(F1*2.52)</f>
        <v>171</v>
      </c>
      <c r="C56" s="3">
        <v>0</v>
      </c>
      <c r="D56" s="3">
        <v>0</v>
      </c>
      <c r="E56" s="3">
        <f t="shared" si="3"/>
        <v>0</v>
      </c>
    </row>
    <row r="57" spans="1:5" ht="10.5" customHeight="1">
      <c r="A57" s="89" t="s">
        <v>270</v>
      </c>
      <c r="B57" s="28">
        <f>INT(F1*2.9)</f>
        <v>197</v>
      </c>
      <c r="C57" s="3">
        <v>0</v>
      </c>
      <c r="D57" s="3">
        <v>0</v>
      </c>
      <c r="E57" s="3">
        <f t="shared" si="3"/>
        <v>0</v>
      </c>
    </row>
    <row r="58" spans="1:5" ht="10.5" customHeight="1">
      <c r="A58" s="89" t="s">
        <v>271</v>
      </c>
      <c r="B58" s="28">
        <f>INT(F1*4.14)</f>
        <v>281</v>
      </c>
      <c r="C58" s="3">
        <v>0</v>
      </c>
      <c r="D58" s="3">
        <v>0</v>
      </c>
      <c r="E58" s="3">
        <f t="shared" si="3"/>
        <v>0</v>
      </c>
    </row>
    <row r="59" spans="1:5" ht="10.5" customHeight="1">
      <c r="A59" s="89" t="s">
        <v>274</v>
      </c>
      <c r="B59" s="28">
        <f>INT(F1*2.8)</f>
        <v>190</v>
      </c>
      <c r="C59" s="3">
        <v>0</v>
      </c>
      <c r="D59" s="3">
        <v>0</v>
      </c>
      <c r="E59" s="3">
        <f t="shared" si="3"/>
        <v>0</v>
      </c>
    </row>
    <row r="60" spans="1:5" ht="10.5" customHeight="1">
      <c r="A60" s="89" t="s">
        <v>273</v>
      </c>
      <c r="B60" s="28">
        <f>INT(F1*2.17)</f>
        <v>147</v>
      </c>
      <c r="C60" s="3">
        <v>0</v>
      </c>
      <c r="D60" s="3">
        <v>0</v>
      </c>
      <c r="E60" s="3">
        <f t="shared" si="3"/>
        <v>0</v>
      </c>
    </row>
    <row r="61" spans="1:5" ht="10.5" customHeight="1">
      <c r="A61" s="106" t="s">
        <v>267</v>
      </c>
      <c r="B61" s="104"/>
      <c r="C61" s="104"/>
      <c r="D61" s="105"/>
      <c r="E61" s="104"/>
    </row>
    <row r="62" spans="1:5" ht="10.5" customHeight="1">
      <c r="A62" s="89" t="s">
        <v>226</v>
      </c>
      <c r="B62" s="28">
        <f>INT(F1*0.64)</f>
        <v>43</v>
      </c>
      <c r="C62" s="3">
        <v>0</v>
      </c>
      <c r="D62" s="3">
        <v>0</v>
      </c>
      <c r="E62" s="3">
        <f>(B62*C62)+((B62+30)*D62)</f>
        <v>0</v>
      </c>
    </row>
    <row r="63" spans="1:5" ht="10.5" customHeight="1">
      <c r="A63" s="89" t="s">
        <v>227</v>
      </c>
      <c r="B63" s="28">
        <f>INT(F1*0.41)</f>
        <v>27</v>
      </c>
      <c r="C63" s="3">
        <v>0</v>
      </c>
      <c r="D63" s="32" t="s">
        <v>142</v>
      </c>
      <c r="E63" s="3">
        <f>(B63*C63)</f>
        <v>0</v>
      </c>
    </row>
    <row r="64" spans="1:5" ht="10.5" customHeight="1">
      <c r="A64" s="89" t="s">
        <v>228</v>
      </c>
      <c r="B64" s="28">
        <f>INT(F1*0.35)</f>
        <v>23</v>
      </c>
      <c r="C64" s="3">
        <v>0</v>
      </c>
      <c r="D64" s="32" t="s">
        <v>142</v>
      </c>
      <c r="E64" s="3">
        <f>(B64*C64)</f>
        <v>0</v>
      </c>
    </row>
    <row r="65" spans="1:5" ht="10.5" customHeight="1">
      <c r="A65" s="89" t="s">
        <v>229</v>
      </c>
      <c r="B65" s="28">
        <f>INT(F1*0.35)</f>
        <v>23</v>
      </c>
      <c r="C65" s="3">
        <v>0</v>
      </c>
      <c r="D65" s="32" t="s">
        <v>142</v>
      </c>
      <c r="E65" s="3">
        <f>(B65*C65)</f>
        <v>0</v>
      </c>
    </row>
    <row r="66" spans="1:5" ht="10.5" customHeight="1">
      <c r="A66" s="89" t="s">
        <v>230</v>
      </c>
      <c r="B66" s="28">
        <f>INT(F1*0.35)</f>
        <v>23</v>
      </c>
      <c r="C66" s="3">
        <v>0</v>
      </c>
      <c r="D66" s="32" t="s">
        <v>142</v>
      </c>
      <c r="E66" s="3">
        <f>(B66*C66)</f>
        <v>0</v>
      </c>
    </row>
    <row r="67" spans="1:5" ht="11.25" customHeight="1">
      <c r="A67" s="44" t="s">
        <v>124</v>
      </c>
      <c r="B67" s="88"/>
      <c r="C67" s="46"/>
      <c r="D67" s="44"/>
      <c r="E67" s="7"/>
    </row>
    <row r="68" spans="1:5" ht="9.75" customHeight="1">
      <c r="A68" s="16" t="s">
        <v>34</v>
      </c>
      <c r="B68" s="28">
        <f>INT(F1*7.6)</f>
        <v>516</v>
      </c>
      <c r="C68" s="3">
        <v>0</v>
      </c>
      <c r="D68" s="140" t="s">
        <v>142</v>
      </c>
      <c r="E68" s="3">
        <f>(B68*C68)</f>
        <v>0</v>
      </c>
    </row>
    <row r="69" spans="1:5" ht="9.75" customHeight="1">
      <c r="A69" s="16" t="s">
        <v>35</v>
      </c>
      <c r="B69" s="28">
        <f>INT(F1*9.15)</f>
        <v>622</v>
      </c>
      <c r="C69" s="3">
        <v>0</v>
      </c>
      <c r="D69" s="141"/>
      <c r="E69" s="3">
        <f>(B69*C69)</f>
        <v>0</v>
      </c>
    </row>
    <row r="70" spans="1:5" ht="9.75" customHeight="1">
      <c r="A70" s="16" t="s">
        <v>36</v>
      </c>
      <c r="B70" s="28">
        <f>INT(F1*6.9)</f>
        <v>469</v>
      </c>
      <c r="C70" s="3">
        <v>0</v>
      </c>
      <c r="D70" s="141"/>
      <c r="E70" s="3">
        <f>(B70*C70)</f>
        <v>0</v>
      </c>
    </row>
    <row r="71" spans="1:5" ht="9.75" customHeight="1">
      <c r="A71" s="16" t="s">
        <v>37</v>
      </c>
      <c r="B71" s="28">
        <f>INT(F1*8.6)</f>
        <v>584</v>
      </c>
      <c r="C71" s="3">
        <v>0</v>
      </c>
      <c r="D71" s="141"/>
      <c r="E71" s="3">
        <f>(B71*C71)</f>
        <v>0</v>
      </c>
    </row>
    <row r="72" spans="1:5" ht="10.5" customHeight="1">
      <c r="A72" s="16" t="s">
        <v>38</v>
      </c>
      <c r="B72" s="28">
        <f>INT(F1*8.9)</f>
        <v>605</v>
      </c>
      <c r="C72" s="3">
        <v>0</v>
      </c>
      <c r="D72" s="142"/>
      <c r="E72" s="3">
        <f>(B72*C72)</f>
        <v>0</v>
      </c>
    </row>
    <row r="73" spans="1:5" ht="11.25" customHeight="1">
      <c r="A73" s="48" t="s">
        <v>149</v>
      </c>
      <c r="B73" s="145" t="s">
        <v>141</v>
      </c>
      <c r="C73" s="145"/>
      <c r="D73" s="145"/>
      <c r="E73" s="146"/>
    </row>
    <row r="74" spans="1:5" ht="9.75" customHeight="1">
      <c r="A74" s="16" t="s">
        <v>128</v>
      </c>
      <c r="B74" s="28">
        <f>INT(F1*2.5)</f>
        <v>170</v>
      </c>
      <c r="C74" s="3">
        <v>0</v>
      </c>
      <c r="D74" s="3">
        <v>0</v>
      </c>
      <c r="E74" s="3">
        <f>(B74*C74)+((B74+60)*D74)</f>
        <v>0</v>
      </c>
    </row>
    <row r="75" spans="1:5" ht="9.75" customHeight="1">
      <c r="A75" s="16" t="s">
        <v>129</v>
      </c>
      <c r="B75" s="28">
        <f>INT(F1*2.5)</f>
        <v>170</v>
      </c>
      <c r="C75" s="3">
        <v>0</v>
      </c>
      <c r="D75" s="3">
        <v>0</v>
      </c>
      <c r="E75" s="3">
        <f>(B75*C75)+((B75+30)*D75)</f>
        <v>0</v>
      </c>
    </row>
    <row r="76" spans="1:5" ht="9.75" customHeight="1">
      <c r="A76" s="16" t="s">
        <v>130</v>
      </c>
      <c r="B76" s="28">
        <f>INT(F1*2.25)</f>
        <v>153</v>
      </c>
      <c r="C76" s="3">
        <v>0</v>
      </c>
      <c r="D76" s="3">
        <v>0</v>
      </c>
      <c r="E76" s="3">
        <f>(B76*C76)+((B76+30)*D76)</f>
        <v>0</v>
      </c>
    </row>
    <row r="77" spans="1:5" ht="9.75" customHeight="1">
      <c r="A77" s="16" t="s">
        <v>131</v>
      </c>
      <c r="B77" s="28">
        <f>INT(F1*2.25)</f>
        <v>153</v>
      </c>
      <c r="C77" s="3">
        <v>0</v>
      </c>
      <c r="D77" s="3">
        <v>0</v>
      </c>
      <c r="E77" s="3">
        <f>(B77*C77)+((B77+30)*D77)</f>
        <v>0</v>
      </c>
    </row>
    <row r="78" spans="1:5" ht="9.75" customHeight="1">
      <c r="A78" s="16" t="s">
        <v>132</v>
      </c>
      <c r="B78" s="28">
        <f>INT(F1*2.25)</f>
        <v>153</v>
      </c>
      <c r="C78" s="3">
        <v>0</v>
      </c>
      <c r="D78" s="3">
        <v>0</v>
      </c>
      <c r="E78" s="3">
        <f>(B78*C78)+((B78+60)*D78)</f>
        <v>0</v>
      </c>
    </row>
    <row r="79" spans="1:5" ht="9.75" customHeight="1">
      <c r="A79" s="16" t="s">
        <v>133</v>
      </c>
      <c r="B79" s="28">
        <f>INT(F1*3.125)</f>
        <v>212</v>
      </c>
      <c r="C79" s="3">
        <v>0</v>
      </c>
      <c r="D79" s="3">
        <v>0</v>
      </c>
      <c r="E79" s="3">
        <f>(B79*C79)+((B79+60)*D79)</f>
        <v>0</v>
      </c>
    </row>
    <row r="80" spans="1:5" ht="9.75" customHeight="1">
      <c r="A80" s="16" t="s">
        <v>134</v>
      </c>
      <c r="B80" s="28">
        <f>INT(F1*3.125)</f>
        <v>212</v>
      </c>
      <c r="C80" s="3">
        <v>0</v>
      </c>
      <c r="D80" s="3">
        <v>0</v>
      </c>
      <c r="E80" s="3">
        <f>(B80*C80)+((B80+30)*D80)</f>
        <v>0</v>
      </c>
    </row>
    <row r="81" spans="1:5" ht="9.75" customHeight="1">
      <c r="A81" s="16" t="s">
        <v>221</v>
      </c>
      <c r="B81" s="28">
        <f>INT(F1*3.125)</f>
        <v>212</v>
      </c>
      <c r="C81" s="3">
        <v>0</v>
      </c>
      <c r="D81" s="3">
        <v>0</v>
      </c>
      <c r="E81" s="3">
        <f>(B81*C81)+((B81+60)*D81)</f>
        <v>0</v>
      </c>
    </row>
    <row r="82" spans="1:5" ht="9.75" customHeight="1">
      <c r="A82" s="16" t="s">
        <v>222</v>
      </c>
      <c r="B82" s="28">
        <f>INT(F1*3.125)</f>
        <v>212</v>
      </c>
      <c r="C82" s="3">
        <v>0</v>
      </c>
      <c r="D82" s="3">
        <v>0</v>
      </c>
      <c r="E82" s="3">
        <f>(B82*C82)+((B82+30)*D82)</f>
        <v>0</v>
      </c>
    </row>
    <row r="83" spans="1:5" ht="9.75" customHeight="1">
      <c r="A83" s="16" t="s">
        <v>223</v>
      </c>
      <c r="B83" s="49">
        <f>INT(F1*3.125)</f>
        <v>212</v>
      </c>
      <c r="C83" s="3">
        <v>0</v>
      </c>
      <c r="D83" s="3">
        <v>0</v>
      </c>
      <c r="E83" s="3">
        <f>(B83*C83)+((B83+30)*D83)</f>
        <v>0</v>
      </c>
    </row>
    <row r="84" spans="1:6" s="5" customFormat="1" ht="12.75" customHeight="1">
      <c r="A84" s="143" t="s">
        <v>140</v>
      </c>
      <c r="B84" s="143"/>
      <c r="C84" s="143"/>
      <c r="D84" s="143"/>
      <c r="E84" s="30">
        <f>SUM(E6:E83)</f>
        <v>0</v>
      </c>
      <c r="F84" s="4"/>
    </row>
    <row r="85" spans="1:5" ht="13.5" customHeight="1">
      <c r="A85" s="144" t="s">
        <v>63</v>
      </c>
      <c r="B85" s="144"/>
      <c r="C85" s="144"/>
      <c r="D85" s="144"/>
      <c r="E85" s="47">
        <f>E84+'Btfly.ru'!E144+'Massagerell.ru'!D9+'Сarapky.ru'!D35+'2Resnichki.ru'!F44+'Warbrushes.ru'!D16</f>
        <v>0</v>
      </c>
    </row>
    <row r="86" spans="1:5" ht="13.5" customHeight="1">
      <c r="A86" s="139" t="s">
        <v>138</v>
      </c>
      <c r="B86" s="139"/>
      <c r="C86" s="139"/>
      <c r="D86" s="139"/>
      <c r="E86" s="139"/>
    </row>
  </sheetData>
  <sheetProtection/>
  <mergeCells count="13">
    <mergeCell ref="A1:E2"/>
    <mergeCell ref="A3:A4"/>
    <mergeCell ref="B3:B4"/>
    <mergeCell ref="D3:D4"/>
    <mergeCell ref="E3:E4"/>
    <mergeCell ref="B5:E5"/>
    <mergeCell ref="C3:C4"/>
    <mergeCell ref="A86:E86"/>
    <mergeCell ref="D68:D72"/>
    <mergeCell ref="A84:D84"/>
    <mergeCell ref="A85:D85"/>
    <mergeCell ref="B73:E73"/>
    <mergeCell ref="B54:E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E18"/>
  <sheetViews>
    <sheetView zoomScalePageLayoutView="0" workbookViewId="0" topLeftCell="A1">
      <selection activeCell="E1" sqref="E1"/>
    </sheetView>
  </sheetViews>
  <sheetFormatPr defaultColWidth="9.140625" defaultRowHeight="9.75" customHeight="1"/>
  <cols>
    <col min="1" max="1" width="24.8515625" style="2" customWidth="1"/>
    <col min="2" max="2" width="13.8515625" style="2" customWidth="1"/>
    <col min="3" max="3" width="11.421875" style="2" customWidth="1"/>
    <col min="4" max="4" width="14.421875" style="2" customWidth="1"/>
    <col min="5" max="5" width="15.57421875" style="2" customWidth="1"/>
    <col min="6" max="16384" width="9.140625" style="2" customWidth="1"/>
  </cols>
  <sheetData>
    <row r="1" spans="1:5" ht="36" customHeight="1">
      <c r="A1" s="156" t="s">
        <v>207</v>
      </c>
      <c r="B1" s="157"/>
      <c r="C1" s="157"/>
      <c r="D1" s="157"/>
      <c r="E1" s="71">
        <v>68</v>
      </c>
    </row>
    <row r="2" spans="1:5" ht="9.75" customHeight="1">
      <c r="A2" s="151" t="s">
        <v>0</v>
      </c>
      <c r="B2" s="152" t="s">
        <v>43</v>
      </c>
      <c r="C2" s="151" t="s">
        <v>41</v>
      </c>
      <c r="D2" s="151" t="s">
        <v>1</v>
      </c>
      <c r="E2" s="52" t="s">
        <v>152</v>
      </c>
    </row>
    <row r="3" spans="1:5" ht="15" customHeight="1">
      <c r="A3" s="151"/>
      <c r="B3" s="153"/>
      <c r="C3" s="151"/>
      <c r="D3" s="151"/>
      <c r="E3" s="74" t="s">
        <v>154</v>
      </c>
    </row>
    <row r="4" spans="1:5" s="1" customFormat="1" ht="11.25" customHeight="1">
      <c r="A4" s="48" t="s">
        <v>195</v>
      </c>
      <c r="B4" s="48"/>
      <c r="C4" s="48"/>
      <c r="D4" s="7"/>
      <c r="E4" s="102" t="s">
        <v>342</v>
      </c>
    </row>
    <row r="5" spans="1:4" ht="9.75" customHeight="1">
      <c r="A5" s="17" t="s">
        <v>196</v>
      </c>
      <c r="B5" s="8">
        <f>INT(E1*4.02)</f>
        <v>273</v>
      </c>
      <c r="C5" s="3">
        <v>0</v>
      </c>
      <c r="D5" s="3">
        <f>(B5*C5)</f>
        <v>0</v>
      </c>
    </row>
    <row r="6" spans="1:4" ht="9.75" customHeight="1">
      <c r="A6" s="17" t="s">
        <v>197</v>
      </c>
      <c r="B6" s="8">
        <f>INT(E1*3.22)</f>
        <v>218</v>
      </c>
      <c r="C6" s="3">
        <v>0</v>
      </c>
      <c r="D6" s="3">
        <f aca="true" t="shared" si="0" ref="D6:D15">(B6*C6)</f>
        <v>0</v>
      </c>
    </row>
    <row r="7" spans="1:4" ht="9.75" customHeight="1">
      <c r="A7" s="17" t="s">
        <v>198</v>
      </c>
      <c r="B7" s="8">
        <f>INT(E1*3)</f>
        <v>204</v>
      </c>
      <c r="C7" s="3">
        <v>0</v>
      </c>
      <c r="D7" s="3">
        <f t="shared" si="0"/>
        <v>0</v>
      </c>
    </row>
    <row r="8" spans="1:4" ht="9.75" customHeight="1">
      <c r="A8" s="17" t="s">
        <v>199</v>
      </c>
      <c r="B8" s="8">
        <f>INT(E1*4.71)</f>
        <v>320</v>
      </c>
      <c r="C8" s="3">
        <v>0</v>
      </c>
      <c r="D8" s="3">
        <f t="shared" si="0"/>
        <v>0</v>
      </c>
    </row>
    <row r="9" spans="1:4" ht="9.75" customHeight="1">
      <c r="A9" s="17" t="s">
        <v>200</v>
      </c>
      <c r="B9" s="8">
        <f>INT(E1*4.77)</f>
        <v>324</v>
      </c>
      <c r="C9" s="3">
        <v>0</v>
      </c>
      <c r="D9" s="3">
        <f t="shared" si="0"/>
        <v>0</v>
      </c>
    </row>
    <row r="10" spans="1:4" ht="9.75" customHeight="1">
      <c r="A10" s="17" t="s">
        <v>201</v>
      </c>
      <c r="B10" s="8">
        <f>INT(E1*3.22)</f>
        <v>218</v>
      </c>
      <c r="C10" s="3">
        <v>0</v>
      </c>
      <c r="D10" s="3">
        <f t="shared" si="0"/>
        <v>0</v>
      </c>
    </row>
    <row r="11" spans="1:4" ht="9.75" customHeight="1">
      <c r="A11" s="17" t="s">
        <v>206</v>
      </c>
      <c r="B11" s="8">
        <f>INT(E1*4.6)</f>
        <v>312</v>
      </c>
      <c r="C11" s="3">
        <v>0</v>
      </c>
      <c r="D11" s="3">
        <f t="shared" si="0"/>
        <v>0</v>
      </c>
    </row>
    <row r="12" spans="1:4" ht="9.75" customHeight="1">
      <c r="A12" s="17" t="s">
        <v>202</v>
      </c>
      <c r="B12" s="8">
        <f>INT(E1*3.79)</f>
        <v>257</v>
      </c>
      <c r="C12" s="3">
        <v>0</v>
      </c>
      <c r="D12" s="3">
        <f t="shared" si="0"/>
        <v>0</v>
      </c>
    </row>
    <row r="13" spans="1:4" ht="9.75" customHeight="1">
      <c r="A13" s="17" t="s">
        <v>203</v>
      </c>
      <c r="B13" s="8">
        <f>INT(E1*4.25)</f>
        <v>289</v>
      </c>
      <c r="C13" s="3">
        <v>0</v>
      </c>
      <c r="D13" s="3">
        <f t="shared" si="0"/>
        <v>0</v>
      </c>
    </row>
    <row r="14" spans="1:4" ht="9.75" customHeight="1">
      <c r="A14" s="17" t="s">
        <v>204</v>
      </c>
      <c r="B14" s="8">
        <f>INT(E1*4)</f>
        <v>272</v>
      </c>
      <c r="C14" s="3">
        <v>0</v>
      </c>
      <c r="D14" s="3">
        <f t="shared" si="0"/>
        <v>0</v>
      </c>
    </row>
    <row r="15" spans="1:4" ht="9.75" customHeight="1">
      <c r="A15" s="17" t="s">
        <v>205</v>
      </c>
      <c r="B15" s="8">
        <f>INT(E1*2.93)</f>
        <v>199</v>
      </c>
      <c r="C15" s="3">
        <v>0</v>
      </c>
      <c r="D15" s="3">
        <f t="shared" si="0"/>
        <v>0</v>
      </c>
    </row>
    <row r="16" spans="1:5" s="5" customFormat="1" ht="12" customHeight="1">
      <c r="A16" s="158" t="s">
        <v>44</v>
      </c>
      <c r="B16" s="158"/>
      <c r="C16" s="158"/>
      <c r="D16" s="15">
        <f>SUM(D5:D15)</f>
        <v>0</v>
      </c>
      <c r="E16" s="4"/>
    </row>
    <row r="17" spans="1:4" ht="13.5" customHeight="1">
      <c r="A17" s="144" t="s">
        <v>63</v>
      </c>
      <c r="B17" s="154"/>
      <c r="C17" s="154"/>
      <c r="D17" s="50">
        <f>D16+'Terochki.ru'!E84+'Btfly.ru'!E144+'Сarapky.ru'!D35+'2Resnichki.ru'!F44+'Massagerell.ru'!D9</f>
        <v>0</v>
      </c>
    </row>
    <row r="18" spans="1:4" ht="13.5" customHeight="1">
      <c r="A18" s="155" t="s">
        <v>137</v>
      </c>
      <c r="B18" s="155"/>
      <c r="C18" s="155"/>
      <c r="D18" s="155"/>
    </row>
    <row r="19" ht="9.75" customHeight="1"/>
  </sheetData>
  <sheetProtection/>
  <mergeCells count="8">
    <mergeCell ref="A17:C17"/>
    <mergeCell ref="A18:D18"/>
    <mergeCell ref="A1:D1"/>
    <mergeCell ref="A2:A3"/>
    <mergeCell ref="B2:B3"/>
    <mergeCell ref="C2:C3"/>
    <mergeCell ref="D2:D3"/>
    <mergeCell ref="A16:C1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N62"/>
  <sheetViews>
    <sheetView zoomScalePageLayoutView="0" workbookViewId="0" topLeftCell="A1">
      <selection activeCell="E1" sqref="E1"/>
    </sheetView>
  </sheetViews>
  <sheetFormatPr defaultColWidth="9.140625" defaultRowHeight="9.75" customHeight="1"/>
  <cols>
    <col min="1" max="1" width="26.140625" style="2" customWidth="1"/>
    <col min="2" max="2" width="13.8515625" style="2" customWidth="1"/>
    <col min="3" max="3" width="15.140625" style="2" customWidth="1"/>
    <col min="4" max="4" width="12.00390625" style="2" customWidth="1"/>
    <col min="5" max="5" width="15.421875" style="2" customWidth="1"/>
    <col min="6" max="16384" width="9.140625" style="2" customWidth="1"/>
  </cols>
  <sheetData>
    <row r="1" spans="1:5" ht="24" customHeight="1">
      <c r="A1" s="165" t="s">
        <v>185</v>
      </c>
      <c r="B1" s="165"/>
      <c r="C1" s="165"/>
      <c r="D1" s="165"/>
      <c r="E1" s="71">
        <v>68</v>
      </c>
    </row>
    <row r="2" spans="1:5" ht="11.25" customHeight="1">
      <c r="A2" s="166" t="s">
        <v>143</v>
      </c>
      <c r="B2" s="166"/>
      <c r="C2" s="166"/>
      <c r="D2" s="166"/>
      <c r="E2" s="52" t="s">
        <v>152</v>
      </c>
    </row>
    <row r="3" spans="1:5" ht="11.25" customHeight="1">
      <c r="A3" s="21" t="s">
        <v>0</v>
      </c>
      <c r="B3" s="21" t="s">
        <v>40</v>
      </c>
      <c r="C3" s="21" t="s">
        <v>41</v>
      </c>
      <c r="D3" s="21" t="s">
        <v>1</v>
      </c>
      <c r="E3" s="74" t="s">
        <v>154</v>
      </c>
    </row>
    <row r="4" spans="1:5" ht="12" customHeight="1">
      <c r="A4" s="22" t="s">
        <v>112</v>
      </c>
      <c r="B4" s="34"/>
      <c r="C4" s="35"/>
      <c r="D4" s="36"/>
      <c r="E4" s="85" t="s">
        <v>342</v>
      </c>
    </row>
    <row r="5" spans="1:4" ht="9.75" customHeight="1">
      <c r="A5" s="16" t="s">
        <v>46</v>
      </c>
      <c r="B5" s="14">
        <f>INT(E1*2)</f>
        <v>136</v>
      </c>
      <c r="C5" s="31">
        <v>0</v>
      </c>
      <c r="D5" s="32">
        <f>(B5*C5)</f>
        <v>0</v>
      </c>
    </row>
    <row r="6" spans="1:4" ht="9.75" customHeight="1">
      <c r="A6" s="16" t="s">
        <v>47</v>
      </c>
      <c r="B6" s="14">
        <f>INT(E1*2)</f>
        <v>136</v>
      </c>
      <c r="C6" s="31">
        <v>0</v>
      </c>
      <c r="D6" s="32">
        <f>(B6*C6)</f>
        <v>0</v>
      </c>
    </row>
    <row r="7" spans="1:4" ht="9.75" customHeight="1">
      <c r="A7" s="16" t="s">
        <v>48</v>
      </c>
      <c r="B7" s="14">
        <f>INT(E1*2)</f>
        <v>136</v>
      </c>
      <c r="C7" s="31">
        <v>0</v>
      </c>
      <c r="D7" s="32">
        <f>(B7*C7)</f>
        <v>0</v>
      </c>
    </row>
    <row r="8" spans="1:4" ht="9.75" customHeight="1">
      <c r="A8" s="16" t="s">
        <v>146</v>
      </c>
      <c r="B8" s="14">
        <f>INT(E1*2)</f>
        <v>136</v>
      </c>
      <c r="C8" s="31">
        <v>0</v>
      </c>
      <c r="D8" s="32">
        <f aca="true" t="shared" si="0" ref="D8:D16">(B8*C8)</f>
        <v>0</v>
      </c>
    </row>
    <row r="9" spans="1:4" ht="9.75" customHeight="1">
      <c r="A9" s="16" t="s">
        <v>145</v>
      </c>
      <c r="B9" s="14">
        <f>INT(E1*2)</f>
        <v>136</v>
      </c>
      <c r="C9" s="31">
        <v>0</v>
      </c>
      <c r="D9" s="32">
        <f t="shared" si="0"/>
        <v>0</v>
      </c>
    </row>
    <row r="10" spans="1:4" ht="9.75" customHeight="1">
      <c r="A10" s="16" t="s">
        <v>49</v>
      </c>
      <c r="B10" s="14">
        <f>INT(E1*2)</f>
        <v>136</v>
      </c>
      <c r="C10" s="31">
        <v>0</v>
      </c>
      <c r="D10" s="32">
        <f t="shared" si="0"/>
        <v>0</v>
      </c>
    </row>
    <row r="11" spans="1:4" ht="9.75" customHeight="1">
      <c r="A11" s="16" t="s">
        <v>144</v>
      </c>
      <c r="B11" s="14">
        <f>INT(E1*2)</f>
        <v>136</v>
      </c>
      <c r="C11" s="31">
        <v>0</v>
      </c>
      <c r="D11" s="32">
        <f>(B11*C11)</f>
        <v>0</v>
      </c>
    </row>
    <row r="12" spans="1:4" ht="9.75" customHeight="1">
      <c r="A12" s="16" t="s">
        <v>50</v>
      </c>
      <c r="B12" s="14">
        <f>INT(E1*2)</f>
        <v>136</v>
      </c>
      <c r="C12" s="31">
        <v>0</v>
      </c>
      <c r="D12" s="32">
        <f>(B12*C12)</f>
        <v>0</v>
      </c>
    </row>
    <row r="13" spans="1:4" ht="9.75" customHeight="1">
      <c r="A13" s="16" t="s">
        <v>147</v>
      </c>
      <c r="B13" s="14">
        <f>INT(E1*2)</f>
        <v>136</v>
      </c>
      <c r="C13" s="31">
        <v>0</v>
      </c>
      <c r="D13" s="32">
        <f>(B13*C13)</f>
        <v>0</v>
      </c>
    </row>
    <row r="14" spans="1:4" ht="9.75" customHeight="1">
      <c r="A14" s="16" t="s">
        <v>51</v>
      </c>
      <c r="B14" s="14">
        <f>INT(E1*2)</f>
        <v>136</v>
      </c>
      <c r="C14" s="31">
        <v>0</v>
      </c>
      <c r="D14" s="32">
        <f t="shared" si="0"/>
        <v>0</v>
      </c>
    </row>
    <row r="15" spans="1:4" ht="9.75" customHeight="1">
      <c r="A15" s="16" t="s">
        <v>52</v>
      </c>
      <c r="B15" s="14">
        <f>INT(E1*2)</f>
        <v>136</v>
      </c>
      <c r="C15" s="31">
        <v>0</v>
      </c>
      <c r="D15" s="32">
        <f t="shared" si="0"/>
        <v>0</v>
      </c>
    </row>
    <row r="16" spans="1:4" ht="9.75" customHeight="1">
      <c r="A16" s="16" t="s">
        <v>53</v>
      </c>
      <c r="B16" s="14">
        <f>INT(E1*2)</f>
        <v>136</v>
      </c>
      <c r="C16" s="31">
        <v>0</v>
      </c>
      <c r="D16" s="32">
        <f t="shared" si="0"/>
        <v>0</v>
      </c>
    </row>
    <row r="17" spans="1:4" ht="9.75" customHeight="1">
      <c r="A17" s="23" t="s">
        <v>54</v>
      </c>
      <c r="B17" s="42"/>
      <c r="C17" s="26"/>
      <c r="D17" s="24"/>
    </row>
    <row r="18" spans="1:4" ht="9.75" customHeight="1">
      <c r="A18" s="17" t="s">
        <v>55</v>
      </c>
      <c r="B18" s="14">
        <f>INT(E1*2)</f>
        <v>136</v>
      </c>
      <c r="C18" s="31">
        <v>0</v>
      </c>
      <c r="D18" s="32">
        <f aca="true" t="shared" si="1" ref="D18:D25">(B18*C18)</f>
        <v>0</v>
      </c>
    </row>
    <row r="19" spans="1:4" ht="9.75" customHeight="1">
      <c r="A19" s="17" t="s">
        <v>56</v>
      </c>
      <c r="B19" s="14">
        <f>INT(E1*2)</f>
        <v>136</v>
      </c>
      <c r="C19" s="31">
        <v>0</v>
      </c>
      <c r="D19" s="32">
        <f t="shared" si="1"/>
        <v>0</v>
      </c>
    </row>
    <row r="20" spans="1:4" ht="9.75" customHeight="1">
      <c r="A20" s="17" t="s">
        <v>57</v>
      </c>
      <c r="B20" s="14">
        <f>INT(E1*2)</f>
        <v>136</v>
      </c>
      <c r="C20" s="31">
        <v>0</v>
      </c>
      <c r="D20" s="32">
        <f t="shared" si="1"/>
        <v>0</v>
      </c>
    </row>
    <row r="21" spans="1:4" ht="9.75" customHeight="1">
      <c r="A21" s="17" t="s">
        <v>58</v>
      </c>
      <c r="B21" s="14">
        <f>INT(E1*2)</f>
        <v>136</v>
      </c>
      <c r="C21" s="31">
        <v>0</v>
      </c>
      <c r="D21" s="32">
        <f t="shared" si="1"/>
        <v>0</v>
      </c>
    </row>
    <row r="22" spans="1:4" ht="9.75" customHeight="1">
      <c r="A22" s="17" t="s">
        <v>59</v>
      </c>
      <c r="B22" s="14">
        <f>INT(E1*2)</f>
        <v>136</v>
      </c>
      <c r="C22" s="31">
        <v>0</v>
      </c>
      <c r="D22" s="32">
        <f t="shared" si="1"/>
        <v>0</v>
      </c>
    </row>
    <row r="23" spans="1:4" ht="9.75" customHeight="1">
      <c r="A23" s="17" t="s">
        <v>60</v>
      </c>
      <c r="B23" s="14">
        <f>INT(E1*2)</f>
        <v>136</v>
      </c>
      <c r="C23" s="31">
        <v>0</v>
      </c>
      <c r="D23" s="32">
        <f t="shared" si="1"/>
        <v>0</v>
      </c>
    </row>
    <row r="24" spans="1:4" ht="9.75" customHeight="1">
      <c r="A24" s="17" t="s">
        <v>61</v>
      </c>
      <c r="B24" s="14">
        <f>INT(E1*2)</f>
        <v>136</v>
      </c>
      <c r="C24" s="31">
        <v>0</v>
      </c>
      <c r="D24" s="32">
        <f t="shared" si="1"/>
        <v>0</v>
      </c>
    </row>
    <row r="25" spans="1:4" ht="9.75" customHeight="1">
      <c r="A25" s="17" t="s">
        <v>62</v>
      </c>
      <c r="B25" s="14">
        <f>INT(E1*2)</f>
        <v>136</v>
      </c>
      <c r="C25" s="31">
        <v>0</v>
      </c>
      <c r="D25" s="32">
        <f t="shared" si="1"/>
        <v>0</v>
      </c>
    </row>
    <row r="26" spans="1:4" ht="9.75" customHeight="1">
      <c r="A26" s="25" t="s">
        <v>42</v>
      </c>
      <c r="B26" s="37"/>
      <c r="C26" s="35"/>
      <c r="D26" s="38"/>
    </row>
    <row r="27" spans="1:4" ht="9.75" customHeight="1">
      <c r="A27" s="17" t="s">
        <v>115</v>
      </c>
      <c r="B27" s="14">
        <f>INT(E1*2.75)</f>
        <v>187</v>
      </c>
      <c r="C27" s="31">
        <v>0</v>
      </c>
      <c r="D27" s="32">
        <f aca="true" t="shared" si="2" ref="D27:D32">(B27*C27)</f>
        <v>0</v>
      </c>
    </row>
    <row r="28" spans="1:4" ht="9.75" customHeight="1">
      <c r="A28" s="17" t="s">
        <v>120</v>
      </c>
      <c r="B28" s="14">
        <f>INT(E1*2.75)</f>
        <v>187</v>
      </c>
      <c r="C28" s="31">
        <v>0</v>
      </c>
      <c r="D28" s="32">
        <f t="shared" si="2"/>
        <v>0</v>
      </c>
    </row>
    <row r="29" spans="1:4" ht="9.75" customHeight="1">
      <c r="A29" s="17" t="s">
        <v>116</v>
      </c>
      <c r="B29" s="14">
        <f>INT(E1*3)</f>
        <v>204</v>
      </c>
      <c r="C29" s="31">
        <v>0</v>
      </c>
      <c r="D29" s="32">
        <f t="shared" si="2"/>
        <v>0</v>
      </c>
    </row>
    <row r="30" spans="1:4" ht="9.75" customHeight="1">
      <c r="A30" s="17" t="s">
        <v>119</v>
      </c>
      <c r="B30" s="14">
        <f>INT(E1*3)</f>
        <v>204</v>
      </c>
      <c r="C30" s="31">
        <v>0</v>
      </c>
      <c r="D30" s="32">
        <f t="shared" si="2"/>
        <v>0</v>
      </c>
    </row>
    <row r="31" spans="1:4" ht="9.75" customHeight="1">
      <c r="A31" s="17" t="s">
        <v>117</v>
      </c>
      <c r="B31" s="14">
        <f>INT(E1*3.25)</f>
        <v>221</v>
      </c>
      <c r="C31" s="31">
        <v>0</v>
      </c>
      <c r="D31" s="32">
        <f t="shared" si="2"/>
        <v>0</v>
      </c>
    </row>
    <row r="32" spans="1:4" ht="9.75" customHeight="1">
      <c r="A32" s="17" t="s">
        <v>118</v>
      </c>
      <c r="B32" s="14">
        <f>INT(E1*3.25)</f>
        <v>221</v>
      </c>
      <c r="C32" s="31">
        <v>0</v>
      </c>
      <c r="D32" s="32">
        <f t="shared" si="2"/>
        <v>0</v>
      </c>
    </row>
    <row r="33" spans="1:4" ht="9.75" customHeight="1">
      <c r="A33" s="23" t="s">
        <v>113</v>
      </c>
      <c r="B33" s="39"/>
      <c r="C33" s="40"/>
      <c r="D33" s="41"/>
    </row>
    <row r="34" spans="1:4" ht="9.75" customHeight="1">
      <c r="A34" s="17" t="s">
        <v>114</v>
      </c>
      <c r="B34" s="20">
        <f>INT(E1*1.625)</f>
        <v>110</v>
      </c>
      <c r="C34" s="32">
        <v>0</v>
      </c>
      <c r="D34" s="32">
        <f>(B34*C34)</f>
        <v>0</v>
      </c>
    </row>
    <row r="35" spans="1:4" ht="12" customHeight="1">
      <c r="A35" s="162" t="s">
        <v>121</v>
      </c>
      <c r="B35" s="163"/>
      <c r="C35" s="163"/>
      <c r="D35" s="33">
        <f>SUM(D5:D34)</f>
        <v>0</v>
      </c>
    </row>
    <row r="36" spans="1:14" ht="12.75" customHeight="1">
      <c r="A36" s="144" t="s">
        <v>63</v>
      </c>
      <c r="B36" s="144"/>
      <c r="C36" s="144"/>
      <c r="D36" s="43">
        <f>D35+'Terochki.ru'!E84+'Massagerell.ru'!D9+'Btfly.ru'!E144+'2Resnichki.ru'!F44+'Warbrushes.ru'!D16</f>
        <v>0</v>
      </c>
      <c r="E36"/>
      <c r="F36" s="164"/>
      <c r="G36" s="164"/>
      <c r="H36" s="164"/>
      <c r="I36" s="164"/>
      <c r="J36" s="164"/>
      <c r="K36" s="164"/>
      <c r="L36" s="164"/>
      <c r="M36" s="164"/>
      <c r="N36" s="164"/>
    </row>
    <row r="37" spans="1:4" ht="12.75" customHeight="1">
      <c r="A37" s="155" t="s">
        <v>137</v>
      </c>
      <c r="B37" s="155"/>
      <c r="C37" s="155"/>
      <c r="D37" s="155"/>
    </row>
    <row r="39" ht="11.25" customHeight="1"/>
    <row r="45" ht="11.25" customHeight="1"/>
    <row r="48" ht="10.5" customHeight="1"/>
    <row r="54" ht="10.5" customHeight="1"/>
    <row r="59" spans="1:4" s="18" customFormat="1" ht="10.5" customHeight="1">
      <c r="A59" s="2"/>
      <c r="B59" s="2"/>
      <c r="C59" s="2"/>
      <c r="D59" s="2"/>
    </row>
    <row r="62" ht="15" customHeight="1">
      <c r="E62" s="19"/>
    </row>
  </sheetData>
  <sheetProtection/>
  <mergeCells count="6">
    <mergeCell ref="A35:C35"/>
    <mergeCell ref="A36:C36"/>
    <mergeCell ref="F36:N36"/>
    <mergeCell ref="A1:D1"/>
    <mergeCell ref="A2:D2"/>
    <mergeCell ref="A37:D37"/>
  </mergeCells>
  <hyperlinks>
    <hyperlink ref="A2" r:id="rId1" display="http://www.carapky.ru/content/tseny-na-tsarapki-i-nezagryazinki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11"/>
  <sheetViews>
    <sheetView zoomScalePageLayoutView="0" workbookViewId="0" topLeftCell="A1">
      <selection activeCell="E1" sqref="E1"/>
    </sheetView>
  </sheetViews>
  <sheetFormatPr defaultColWidth="9.140625" defaultRowHeight="9.75" customHeight="1"/>
  <cols>
    <col min="1" max="1" width="31.00390625" style="2" customWidth="1"/>
    <col min="2" max="2" width="13.8515625" style="2" customWidth="1"/>
    <col min="3" max="3" width="11.421875" style="2" customWidth="1"/>
    <col min="4" max="4" width="11.57421875" style="2" customWidth="1"/>
    <col min="5" max="5" width="15.57421875" style="2" customWidth="1"/>
    <col min="6" max="16384" width="9.140625" style="2" customWidth="1"/>
  </cols>
  <sheetData>
    <row r="1" spans="1:5" ht="36" customHeight="1">
      <c r="A1" s="156" t="s">
        <v>194</v>
      </c>
      <c r="B1" s="157"/>
      <c r="C1" s="157"/>
      <c r="D1" s="157"/>
      <c r="E1" s="71">
        <v>68</v>
      </c>
    </row>
    <row r="2" spans="1:5" ht="9.75" customHeight="1">
      <c r="A2" s="151" t="s">
        <v>0</v>
      </c>
      <c r="B2" s="152" t="s">
        <v>43</v>
      </c>
      <c r="C2" s="151" t="s">
        <v>41</v>
      </c>
      <c r="D2" s="151" t="s">
        <v>1</v>
      </c>
      <c r="E2" s="52" t="s">
        <v>152</v>
      </c>
    </row>
    <row r="3" spans="1:5" ht="15" customHeight="1">
      <c r="A3" s="151"/>
      <c r="B3" s="153"/>
      <c r="C3" s="151"/>
      <c r="D3" s="151"/>
      <c r="E3" s="74" t="s">
        <v>154</v>
      </c>
    </row>
    <row r="4" spans="1:5" s="1" customFormat="1" ht="11.25" customHeight="1">
      <c r="A4" s="12" t="s">
        <v>69</v>
      </c>
      <c r="B4" s="12"/>
      <c r="C4" s="12"/>
      <c r="D4" s="7"/>
      <c r="E4" s="102" t="s">
        <v>342</v>
      </c>
    </row>
    <row r="5" spans="1:4" ht="9.75" customHeight="1">
      <c r="A5" s="17" t="s">
        <v>64</v>
      </c>
      <c r="B5" s="8">
        <f>INT(E1*1.375)</f>
        <v>93</v>
      </c>
      <c r="C5" s="3">
        <v>0</v>
      </c>
      <c r="D5" s="3">
        <f>(B5*C5)</f>
        <v>0</v>
      </c>
    </row>
    <row r="6" spans="1:4" ht="9.75" customHeight="1">
      <c r="A6" s="17" t="s">
        <v>65</v>
      </c>
      <c r="B6" s="8">
        <f>INT(E1*1.125)</f>
        <v>76</v>
      </c>
      <c r="C6" s="3">
        <v>0</v>
      </c>
      <c r="D6" s="3">
        <f>(B6*C6)</f>
        <v>0</v>
      </c>
    </row>
    <row r="7" spans="1:4" ht="9.75" customHeight="1">
      <c r="A7" s="17" t="s">
        <v>66</v>
      </c>
      <c r="B7" s="8">
        <f>INT(E1*1.5)</f>
        <v>102</v>
      </c>
      <c r="C7" s="3">
        <v>0</v>
      </c>
      <c r="D7" s="3">
        <f>(B7*C7)</f>
        <v>0</v>
      </c>
    </row>
    <row r="8" spans="1:4" ht="9.75" customHeight="1">
      <c r="A8" s="17" t="s">
        <v>67</v>
      </c>
      <c r="B8" s="8">
        <f>INT(E1*1.375)</f>
        <v>93</v>
      </c>
      <c r="C8" s="3">
        <v>0</v>
      </c>
      <c r="D8" s="3">
        <f>(B8*C8)</f>
        <v>0</v>
      </c>
    </row>
    <row r="9" spans="1:5" s="5" customFormat="1" ht="12" customHeight="1">
      <c r="A9" s="158" t="s">
        <v>44</v>
      </c>
      <c r="B9" s="158"/>
      <c r="C9" s="158"/>
      <c r="D9" s="15">
        <f>SUM(D4:D8)</f>
        <v>0</v>
      </c>
      <c r="E9" s="4"/>
    </row>
    <row r="10" spans="1:4" ht="13.5" customHeight="1">
      <c r="A10" s="144" t="s">
        <v>63</v>
      </c>
      <c r="B10" s="154"/>
      <c r="C10" s="154"/>
      <c r="D10" s="29">
        <f>D9+'Terochki.ru'!E84+'Btfly.ru'!E144+'Сarapky.ru'!D35+'2Resnichki.ru'!F44+'Warbrushes.ru'!D16</f>
        <v>0</v>
      </c>
    </row>
    <row r="11" spans="1:4" ht="13.5" customHeight="1">
      <c r="A11" s="155" t="s">
        <v>137</v>
      </c>
      <c r="B11" s="155"/>
      <c r="C11" s="155"/>
      <c r="D11" s="155"/>
    </row>
    <row r="12" ht="9.75" customHeight="1"/>
  </sheetData>
  <sheetProtection/>
  <mergeCells count="8">
    <mergeCell ref="A11:D11"/>
    <mergeCell ref="A9:C9"/>
    <mergeCell ref="A10:C10"/>
    <mergeCell ref="A1:D1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Гений</cp:lastModifiedBy>
  <dcterms:created xsi:type="dcterms:W3CDTF">2012-01-02T21:25:59Z</dcterms:created>
  <dcterms:modified xsi:type="dcterms:W3CDTF">2016-01-10T12:44:41Z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